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4P0pzSApcmr9RAVRbDAdgdkUKNr0SS3j765fBXd7VE0GiLVQ+bDNCZ9G7DK3U79O9TQyRLQWf7OaWXALJMd7DA==" workbookSaltValue="QpuGCWNow5GurNwtuj7Y+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17" i="17"/>
  <c r="AQ17" i="17" s="1"/>
  <c r="F9" i="2"/>
  <c r="M13" i="2"/>
  <c r="N13" i="2"/>
  <c r="C17" i="6"/>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E19" i="8"/>
  <c r="AM19" i="8"/>
  <c r="Y19" i="8"/>
  <c r="AW18" i="21"/>
  <c r="H12" i="2"/>
  <c r="Z19" i="8"/>
  <c r="AC10" i="11"/>
  <c r="H13" i="12"/>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I17" i="12"/>
  <c r="K16" i="12"/>
  <c r="D19" i="5"/>
  <c r="I10" i="12"/>
  <c r="B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<sst xmlns="http://schemas.openxmlformats.org/spreadsheetml/2006/main" count="2102" uniqueCount="918">
  <si>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</si>
  <si>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</si>
  <si>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</si>
  <si>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</si>
  <si>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</si>
  <si>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</si>
  <si>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</si>
  <si>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</si>
  <si>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</si>
  <si>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</si>
  <si>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</si>
  <si>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</si>
  <si>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</si>
  <si>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</si>
  <si>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</si>
  <si>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</si>
  <si>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</si>
  <si>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</si>
  <si>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</si>
  <si>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</si>
  <si>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</si>
  <si>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</si>
  <si>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</si>
  <si>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</si>
  <si>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</si>
  <si>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</si>
  <si>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</si>
  <si>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</si>
  <si>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</si>
  <si>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</si>
  <si>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</si>
  <si>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</si>
  <si>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</si>
  <si>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</si>
  <si>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</si>
  <si>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</si>
  <si>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</si>
  <si>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</si>
  <si>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</si>
  <si>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</si>
  <si>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</si>
  <si>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</si>
  <si>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</si>
  <si>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</si>
  <si>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</si>
  <si>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</si>
  <si>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</si>
  <si>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</si>
  <si>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</si>
  <si>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</si>
  <si>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</si>
  <si>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</si>
  <si>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</si>
  <si>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</si>
  <si>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</si>
  <si>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</si>
  <si>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</si>
  <si>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</si>
  <si>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</si>
  <si>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</si>
  <si>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</si>
  <si>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</si>
  <si>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</si>
  <si>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</si>
  <si>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</si>
  <si>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</si>
  <si>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</si>
  <si>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</si>
  <si>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</si>
  <si>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</si>
  <si>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</si>
  <si>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</si>
  <si>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</si>
  <si>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</si>
  <si>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</si>
  <si>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</si>
  <si>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</si>
  <si>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</si>
  <si>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</si>
  <si>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</si>
  <si>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</si>
  <si>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</si>
  <si>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</si>
  <si>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</si>
  <si>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</si>
  <si>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</si>
  <si>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</si>
  <si>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</si>
  <si>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</si>
  <si>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</si>
  <si>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</si>
  <si>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</si>
  <si>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</si>
  <si>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</si>
  <si>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</si>
  <si>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</si>
  <si>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</si>
  <si>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</si>
  <si>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</si>
  <si>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</si>
  <si>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</si>
  <si>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</si>
  <si>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</si>
  <si>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</si>
  <si>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</si>
  <si>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</si>
  <si>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</si>
  <si>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</si>
  <si>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</si>
  <si>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</si>
  <si>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</si>
  <si>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</si>
  <si>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</si>
  <si>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</si>
  <si>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</si>
  <si>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</si>
  <si>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</si>
  <si>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</si>
  <si>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</si>
  <si>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</si>
  <si>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</si>
  <si>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</si>
  <si>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</si>
  <si>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</si>
  <si>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</si>
  <si>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</si>
  <si>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</si>
  <si>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</si>
  <si>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</si>
  <si>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</si>
  <si>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</si>
  <si>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</si>
  <si>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</si>
  <si>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</si>
  <si>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</si>
  <si>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</si>
  <si>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</si>
  <si>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</si>
  <si>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</si>
  <si>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</si>
  <si>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</si>
  <si>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</si>
  <si>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</si>
  <si>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</si>
  <si>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</si>
  <si>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</si>
  <si>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</si>
  <si>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</si>
  <si>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</si>
  <si>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</si>
  <si>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</si>
  <si>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</si>
  <si>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</si>
  <si>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</si>
  <si>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</si>
  <si>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</si>
  <si>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</si>
  <si>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</si>
  <si>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</si>
  <si>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</si>
  <si>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</si>
  <si>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</si>
  <si>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</si>
  <si>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</si>
  <si>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</si>
  <si>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</si>
  <si>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</si>
  <si>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</si>
  <si>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</si>
  <si>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</si>
  <si>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</si>
  <si>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</si>
  <si>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</si>
  <si>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</si>
  <si>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</si>
  <si>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</si>
  <si>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</si>
  <si>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</si>
  <si>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</si>
  <si>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</si>
  <si>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</si>
  <si>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</si>
  <si>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</si>
  <si>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</si>
  <si>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</si>
  <si>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</si>
  <si>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</si>
  <si>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</si>
  <si>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</si>
  <si>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</si>
  <si>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</si>
  <si>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</si>
  <si>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</si>
  <si>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</si>
  <si>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</si>
  <si>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</si>
  <si>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</si>
  <si>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</si>
  <si>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</si>
  <si>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</si>
  <si>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</si>
  <si>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</si>
  <si>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</si>
  <si>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</si>
  <si>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</si>
  <si>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</si>
  <si>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</si>
  <si>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</si>
  <si>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</si>
  <si>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</si>
  <si>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</si>
  <si>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</si>
  <si>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</si>
  <si>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</si>
  <si>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</si>
  <si>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</si>
  <si>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</si>
  <si>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</si>
  <si>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</si>
  <si>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</si>
  <si>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</si>
  <si>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</si>
  <si>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</si>
  <si>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</si>
  <si>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</si>
  <si>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</si>
  <si>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</si>
  <si>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</si>
  <si>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</si>
  <si>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</si>
  <si>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</si>
  <si>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</si>
  <si>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</si>
  <si>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</si>
  <si>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</si>
  <si>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</si>
  <si>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</si>
  <si>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</si>
  <si>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</si>
  <si>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</si>
  <si>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</si>
  <si>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</si>
  <si>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</si>
  <si>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</si>
  <si>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</si>
  <si>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</si>
  <si>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</si>
  <si>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</si>
  <si>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</si>
  <si>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</si>
  <si>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</si>
  <si>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</si>
  <si>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</si>
  <si>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</si>
  <si>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</si>
  <si>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</si>
  <si>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</si>
  <si>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</si>
  <si>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</si>
  <si>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</si>
  <si>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</si>
  <si>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</si>
  <si>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</si>
  <si>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</si>
  <si>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</si>
  <si>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</si>
  <si>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</si>
  <si>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</si>
  <si>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</si>
  <si>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</si>
  <si>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</si>
  <si>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</si>
  <si>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</si>
  <si>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</si>
  <si>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</si>
  <si>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</si>
  <si>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</si>
  <si>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</si>
  <si>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</si>
  <si>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</si>
  <si>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</si>
  <si>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</si>
  <si>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</si>
  <si>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</si>
  <si>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</si>
  <si>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</si>
  <si>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</si>
  <si>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</si>
  <si>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</si>
  <si>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</si>
  <si>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</si>
  <si>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</si>
  <si>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</si>
  <si>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</si>
  <si>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</si>
  <si>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</si>
  <si>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</si>
  <si>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</si>
  <si>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</si>
  <si>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</si>
  <si>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</si>
  <si>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</si>
  <si>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</si>
  <si>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</si>
  <si>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</si>
  <si>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</si>
  <si>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</si>
  <si>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</si>
  <si>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</si>
  <si>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</si>
  <si>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</si>
  <si>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</si>
  <si>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</si>
  <si>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</si>
  <si>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</si>
  <si>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</si>
  <si>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</si>
  <si>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</si>
  <si>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</si>
  <si>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</si>
  <si>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</si>
  <si>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</si>
  <si>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</si>
  <si>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</si>
  <si>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</si>
  <si>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</si>
  <si>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</si>
  <si>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</si>
  <si>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</si>
  <si>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</si>
  <si>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</si>
  <si>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</si>
  <si>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</si>
  <si>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</si>
  <si>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</si>
  <si>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</si>
  <si>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</si>
  <si>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</si>
  <si>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</si>
  <si>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</si>
  <si>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</si>
  <si>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</si>
  <si>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</si>
  <si>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</si>
  <si>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</si>
  <si>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</si>
  <si>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</si>
  <si>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</si>
  <si>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</si>
  <si>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</si>
  <si>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</si>
  <si>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</si>
  <si>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</si>
  <si>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</si>
  <si>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</si>
  <si>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</si>
  <si>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</si>
  <si>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</si>
  <si>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</si>
  <si>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</si>
  <si>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</si>
  <si>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</si>
  <si>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</si>
  <si>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</si>
  <si>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</si>
  <si>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</si>
  <si>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</si>
  <si>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</si>
  <si>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</si>
  <si>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</si>
  <si>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</si>
  <si>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</si>
  <si>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</si>
  <si>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</si>
  <si>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</si>
  <si>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</si>
  <si>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</si>
  <si>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</si>
  <si>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</si>
  <si>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</si>
  <si>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</si>
  <si>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</si>
  <si>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</si>
  <si>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</si>
  <si>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</si>
  <si>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</si>
  <si>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</si>
  <si>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</si>
  <si>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</si>
  <si>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</si>
  <si>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</si>
  <si>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</si>
  <si>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</si>
  <si>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</si>
  <si>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</si>
  <si>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</si>
  <si>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</si>
  <si>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</si>
  <si>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</si>
  <si>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</si>
  <si>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</si>
  <si>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</si>
  <si>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</si>
  <si>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</si>
  <si>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</si>
  <si>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</si>
  <si>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</si>
  <si>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</si>
  <si>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</si>
  <si>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</si>
  <si>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</si>
  <si>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</si>
  <si>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</si>
  <si>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</si>
  <si>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</si>
  <si>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</si>
  <si>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</si>
  <si>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</si>
  <si>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</si>
  <si>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</si>
  <si>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</si>
  <si>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</si>
  <si>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</si>
  <si>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</si>
  <si>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</si>
  <si>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</si>
  <si>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</si>
  <si>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</si>
  <si>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</si>
  <si>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</si>
  <si>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</si>
  <si>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</si>
  <si>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</si>
  <si>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</si>
  <si>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</si>
  <si>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</si>
  <si>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</si>
  <si>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</si>
  <si>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</si>
  <si>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</si>
  <si>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</si>
  <si>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</si>
  <si>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</si>
  <si>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</si>
  <si>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</si>
  <si>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</si>
  <si>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</si>
  <si>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</si>
  <si>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</si>
  <si>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</si>
  <si>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</si>
  <si>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</si>
  <si>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</si>
  <si>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</si>
  <si>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</si>
  <si>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</si>
  <si>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</si>
  <si>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</si>
  <si>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</si>
  <si>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</si>
  <si>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</si>
  <si>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</si>
  <si>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</si>
  <si>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</si>
  <si>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</si>
  <si>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</si>
  <si>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</si>
  <si>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</si>
  <si>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</si>
  <si>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</si>
  <si>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</si>
  <si>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</si>
  <si>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</si>
  <si>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</si>
  <si>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</si>
  <si>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</si>
  <si>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</si>
  <si>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</si>
  <si>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</si>
  <si>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</si>
  <si>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</si>
  <si>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</si>
  <si>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</si>
  <si>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</si>
  <si>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</si>
  <si>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</si>
  <si>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</si>
  <si>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</si>
  <si>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</si>
  <si>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</si>
  <si>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</si>
  <si>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</si>
  <si>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</si>
  <si>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</si>
  <si>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</si>
  <si>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</si>
  <si>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</si>
  <si>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</si>
  <si>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</si>
  <si>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</si>
  <si>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</si>
  <si>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</si>
  <si>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</si>
  <si>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</si>
  <si>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</si>
  <si>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</si>
  <si>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</si>
  <si>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</si>
  <si>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</si>
  <si>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</si>
  <si>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</si>
  <si>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</si>
  <si>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</si>
  <si>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</si>
  <si>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</si>
  <si>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</si>
  <si>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</si>
  <si>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</si>
  <si>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</si>
  <si>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</si>
  <si>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</si>
  <si>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</si>
  <si>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</si>
  <si>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</si>
  <si>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</si>
  <si>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</si>
  <si>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</si>
  <si>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</si>
  <si>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</si>
  <si>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</si>
  <si>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</si>
  <si>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</si>
  <si>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</si>
  <si>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</si>
  <si>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</si>
  <si>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</si>
  <si>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</si>
  <si>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</si>
  <si>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</si>
  <si>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</si>
  <si>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</si>
  <si>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</si>
  <si>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</si>
  <si>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</si>
  <si>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</si>
  <si>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</si>
  <si>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</si>
  <si>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</si>
  <si>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</si>
  <si>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</si>
  <si>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</si>
  <si>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</si>
  <si>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</si>
  <si>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</si>
  <si>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</si>
  <si>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</si>
  <si>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</si>
  <si>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</si>
  <si>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</si>
  <si>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</si>
  <si>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</si>
  <si>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</si>
  <si>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</si>
  <si>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</si>
  <si>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</si>
  <si>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</si>
  <si>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</si>
  <si>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</si>
  <si>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</si>
  <si>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</si>
  <si>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</si>
  <si>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</si>
  <si>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</si>
  <si>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</si>
  <si>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</si>
  <si>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</si>
  <si>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</si>
  <si>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</si>
  <si>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</si>
  <si>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</si>
  <si>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</si>
  <si>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</si>
  <si>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</si>
  <si>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</si>
  <si>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</si>
  <si>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</si>
  <si>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</si>
  <si>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</si>
  <si>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</si>
  <si>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</si>
  <si>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</si>
  <si>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</si>
  <si>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</si>
  <si>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</si>
  <si>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</si>
  <si>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</si>
  <si>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</si>
  <si>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</si>
  <si>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</si>
  <si>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</si>
  <si>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</si>
  <si>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</si>
  <si>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</si>
  <si>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</si>
  <si>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</si>
  <si>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</si>
  <si>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</si>
  <si>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</si>
  <si>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</si>
  <si>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</si>
  <si>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</si>
  <si>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</si>
  <si>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</si>
  <si>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</si>
  <si>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</si>
  <si>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</si>
  <si>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</si>
  <si>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</si>
  <si>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</si>
  <si>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</si>
  <si>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</si>
  <si>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</si>
  <si>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</si>
  <si>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</si>
  <si>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</si>
  <si>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</si>
  <si>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</si>
  <si>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</si>
  <si>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</si>
  <si>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</si>
  <si>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</si>
  <si>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</si>
  <si>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</si>
  <si>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</si>
  <si>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</si>
  <si>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</si>
  <si>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</si>
  <si>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</si>
  <si>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</si>
  <si>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</si>
  <si>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</si>
  <si>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</si>
  <si>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</si>
  <si>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</si>
  <si>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</si>
  <si>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</si>
  <si>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</si>
  <si>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</si>
  <si>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</si>
  <si>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</si>
  <si>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</si>
  <si>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</si>
  <si>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</si>
  <si>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</si>
  <si>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</si>
  <si>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</si>
  <si>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</si>
  <si>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</si>
  <si>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</si>
  <si>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</si>
  <si>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</si>
  <si>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</si>
  <si>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</si>
  <si>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</si>
  <si>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</si>
  <si>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</si>
  <si>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</si>
  <si>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</si>
  <si>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</si>
  <si>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</si>
  <si>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</si>
  <si>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</si>
  <si>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</si>
  <si>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</si>
  <si>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</si>
  <si>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</si>
  <si>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</si>
  <si>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</si>
  <si>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</si>
  <si>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</si>
  <si>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</si>
  <si>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</si>
  <si>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</si>
  <si>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</si>
  <si>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</si>
  <si>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</si>
  <si>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</si>
  <si>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</si>
  <si>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</si>
  <si>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</si>
  <si>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</si>
  <si>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</si>
  <si>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</si>
  <si>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</si>
  <si>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</si>
  <si>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</si>
  <si>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</si>
  <si>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</si>
  <si>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</si>
  <si>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</si>
  <si>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</si>
  <si>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</si>
  <si>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</si>
  <si>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</si>
  <si>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</si>
  <si>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</si>
  <si>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</si>
  <si>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</si>
  <si>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</si>
  <si>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</si>
  <si>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</si>
  <si>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</si>
  <si>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</si>
  <si>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</si>
  <si>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</si>
  <si>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</si>
  <si>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</si>
  <si>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</si>
  <si>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</si>
  <si>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</si>
  <si>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</si>
  <si>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</si>
  <si>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</si>
  <si>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</si>
  <si>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</si>
  <si>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</si>
  <si>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</si>
  <si>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</si>
  <si>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</si>
  <si>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</si>
  <si>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</si>
  <si>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</si>
  <si>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</si>
  <si>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</si>
  <si>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</si>
  <si>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</si>
  <si>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</si>
  <si>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</si>
  <si>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</si>
  <si>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</si>
  <si>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</si>
  <si>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</si>
  <si>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</si>
  <si>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</si>
  <si>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</si>
  <si>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</si>
  <si>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</si>
  <si>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</si>
  <si>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</si>
  <si>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</si>
  <si>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</si>
  <si>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</si>
  <si>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</si>
  <si>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</si>
  <si>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</si>
  <si>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</si>
  <si>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</si>
  <si>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</si>
  <si>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</si>
  <si>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</si>
  <si>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</si>
  <si>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</si>
  <si>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</si>
  <si>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</si>
  <si>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</si>
  <si>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</si>
  <si>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</si>
  <si>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</si>
  <si>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</si>
  <si>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</si>
  <si>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</si>
  <si>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</si>
  <si>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</si>
  <si>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</si>
  <si>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</si>
  <si>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</si>
  <si>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</si>
  <si>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</si>
  <si>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</si>
  <si>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</si>
  <si>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</si>
  <si>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</si>
  <si>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</si>
  <si>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</si>
  <si>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</si>
  <si>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</si>
  <si>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</si>
  <si>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</si>
  <si>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</si>
  <si>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</si>
  <si>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</si>
  <si>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</si>
  <si>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</si>
  <si>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</si>
  <si>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</si>
  <si>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</si>
  <si>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</si>
  <si>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</si>
  <si>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</si>
  <si>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</si>
  <si>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</si>
  <si>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</si>
  <si>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</si>
  <si>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</si>
  <si>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</si>
  <si>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</si>
  <si>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</si>
  <si>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</si>
  <si>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</si>
  <si>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</si>
  <si>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</si>
  <si>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</si>
  <si>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</si>
  <si>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</si>
  <si>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</si>
  <si>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</si>
  <si>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</si>
  <si>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</si>
  <si>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</si>
  <si>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</si>
  <si>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</si>
  <si>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</si>
  <si>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</si>
  <si>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</si>
  <si>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</si>
  <si>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</si>
  <si>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</si>
  <si>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</si>
  <si>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</si>
  <si>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</si>
  <si>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</si>
  <si>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</si>
  <si>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</si>
  <si>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</si>
  <si>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</si>
  <si>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</si>
  <si>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</si>
  <si>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</si>
  <si>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</si>
  <si>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</si>
  <si>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</si>
  <si>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</si>
  <si>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</si>
  <si>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</si>
  <si>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</si>
  <si>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</si>
  <si>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</si>
  <si>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</si>
  <si>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</si>
  <si>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</si>
  <si>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</si>
  <si>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</si>
  <si>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</si>
  <si>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</si>
  <si>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</si>
  <si>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</si>
  <si>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</si>
  <si>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</si>
  <si>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</si>
  <si>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</si>
  <si>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</si>
  <si>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</si>
  <si>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</si>
  <si>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</si>
  <si>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</si>
  <si>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</si>
  <si>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</si>
  <si>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</si>
  <si>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</si>
  <si>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</si>
  <si>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</si>
  <si>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</si>
  <si>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</si>
  <si>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</si>
  <si>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</si>
  <si>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</si>
  <si>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</si>
  <si>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</si>
  <si>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</si>
  <si>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</si>
  <si>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</si>
  <si>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</si>
  <si>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</si>
  <si>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</si>
  <si>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</si>
  <si>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</si>
  <si>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</si>
  <si>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</si>
  <si>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</si>
  <si>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</si>
  <si>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</si>
  <si>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</si>
  <si>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</si>
  <si>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</si>
  <si>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</si>
  <si>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</si>
  <si>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</si>
  <si>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</si>
  <si>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</si>
  <si>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</si>
  <si>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</si>
  <si>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</si>
  <si>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</si>
  <si>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</si>
  <si>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</si>
  <si>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</si>
  <si>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</si>
  <si>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</si>
  <si>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</si>
  <si>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</si>
  <si>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</si>
  <si>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</si>
  <si>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</si>
  <si>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</si>
  <si>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</si>
  <si>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</si>
  <si>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</si>
  <si>
    <t>BAZA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</si>
</sst>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1dwDQdBPeY0L+dPwquedhnzWHOFhqmraLNJTQWuocyQRA3GGF3W9+wMYHvixBfyKrhvYzi/s5FEAGVISdFYeg==" saltValue="tMMdhWgIv6fsPHDOT5Mz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17</v>
      </c>
      <c r="D10" s="224">
        <f>IF(ISNUMBER(Datos!I10),Datos!I10," - ")</f>
        <v>17</v>
      </c>
      <c r="E10" s="225">
        <f>IF(ISNUMBER(Datos!J10),Datos!J10," - ")</f>
        <v>5</v>
      </c>
      <c r="F10" s="225">
        <f>IF(ISNUMBER(Datos!K10),Datos!K10," - ")</f>
        <v>7</v>
      </c>
      <c r="G10" s="1033" t="str">
        <f>IF(Datos!E10&lt;&gt;"",Datos!E10,Datos!D10)</f>
        <v>37</v>
      </c>
      <c r="H10" s="226">
        <f>IF(ISNUMBER(Datos!L10),Datos!L10," - ")</f>
        <v>15</v>
      </c>
      <c r="I10" s="1043" t="str">
        <f>IF(ISNUMBER(Datos!AS10/Datos!BM10),Datos!AS10/Datos!BM10," - ")</f>
        <v xml:space="preserve"> - </v>
      </c>
      <c r="J10" s="1044">
        <f>IF(ISNUMBER(Datos!BY10/Datos!CN10),Datos!BY10/Datos!CN10," - ")</f>
        <v>0</v>
      </c>
      <c r="K10" s="229">
        <f t="shared" ref="K10:K12" si="1">IF(ISNUMBER((E10-F10)/C10),(E10-F10)/C10," - ")</f>
        <v>-0.11764705882352941</v>
      </c>
      <c r="L10" s="1024">
        <f>IF(ISNUMBER(NºAsuntos!I10/NºAsuntos!G10),(NºAsuntos!I10/NºAsuntos!G10)*11," - ")</f>
        <v>23.571428571428569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34.980000000000004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v>
      </c>
      <c r="D13" s="1048">
        <f>SUBTOTAL(9,D9:D12)</f>
        <v>17</v>
      </c>
      <c r="E13" s="1049">
        <f>SUBTOTAL(9,E9:E12)</f>
        <v>5</v>
      </c>
      <c r="F13" s="1050">
        <f>SUBTOTAL(9,F9:F12)</f>
        <v>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995</v>
      </c>
      <c r="D16" s="224">
        <f>IF(ISNUMBER(IF(D_I="SI",Datos!I16,Datos!I16+Datos!AC16)),IF(D_I="SI",Datos!I16,Datos!I16+Datos!AC16)," - ")</f>
        <v>995</v>
      </c>
      <c r="E16" s="225">
        <f>IF(ISNUMBER(IF(D_I="SI",Datos!J16,Datos!J16+Datos!AD16)),IF(D_I="SI",Datos!J16,Datos!J16+Datos!AD16)," - ")</f>
        <v>714</v>
      </c>
      <c r="F16" s="225">
        <f>IF(ISNUMBER(IF(D_I="SI",Datos!K16,Datos!K16+Datos!AE16)),IF(D_I="SI",Datos!K16,Datos!K16+Datos!AE16)," - ")</f>
        <v>499</v>
      </c>
      <c r="G16" s="1033" t="str">
        <f>IF(Datos!E16&lt;&gt;"",Datos!E16,Datos!D16)</f>
        <v>04</v>
      </c>
      <c r="H16" s="226">
        <f>IF(ISNUMBER(IF(D_I="SI",Datos!L16,Datos!L16+Datos!AF16)),IF(D_I="SI",Datos!L16,Datos!L16+Datos!AF16)," - ")</f>
        <v>1210</v>
      </c>
      <c r="I16" s="1043" t="str">
        <f>IF(ISNUMBER(Datos!AS16/Datos!BM16),Datos!AS16/Datos!BM16," - ")</f>
        <v xml:space="preserve"> - </v>
      </c>
      <c r="J16" s="1044">
        <f>IF(ISNUMBER(Datos!BY16/Datos!CN16),Datos!BY16/Datos!CN16," - ")</f>
        <v>0</v>
      </c>
      <c r="K16" s="229">
        <f t="shared" si="3"/>
        <v>0.21608040201005024</v>
      </c>
      <c r="L16" s="1024">
        <f>IF(ISNUMBER(NºAsuntos!I16/NºAsuntos!G16),(NºAsuntos!I16/NºAsuntos!G16)*11," - ")</f>
        <v>26.673346693386772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74</v>
      </c>
      <c r="D17" s="224">
        <f>IF(ISNUMBER(IF(D_I="SI",Datos!I17,Datos!I17+Datos!AC17)),IF(D_I="SI",Datos!I17,Datos!I17+Datos!AC17)," - ")</f>
        <v>74</v>
      </c>
      <c r="E17" s="225">
        <f>IF(ISNUMBER(IF(D_I="SI",Datos!J17,Datos!J17+Datos!AD17)),IF(D_I="SI",Datos!J17,Datos!J17+Datos!AD17)," - ")</f>
        <v>72</v>
      </c>
      <c r="F17" s="225">
        <f>IF(ISNUMBER(IF(D_I="SI",Datos!K17,Datos!K17+Datos!AE17)),IF(D_I="SI",Datos!K17,Datos!K17+Datos!AE17)," - ")</f>
        <v>89</v>
      </c>
      <c r="G17" s="1033" t="str">
        <f>IF(Datos!E17&lt;&gt;"",Datos!E17,Datos!D17)</f>
        <v>37</v>
      </c>
      <c r="H17" s="226">
        <f>IF(ISNUMBER(IF(D_I="SI",Datos!L17,Datos!L17+Datos!AF17)),IF(D_I="SI",Datos!L17,Datos!L17+Datos!AF17)," - ")</f>
        <v>57</v>
      </c>
      <c r="I17" s="1043" t="str">
        <f>IF(ISNUMBER(Datos!AS17/Datos!BM17),Datos!AS17/Datos!BM17," - ")</f>
        <v xml:space="preserve"> - </v>
      </c>
      <c r="J17" s="1044" t="str">
        <f>IF(ISNUMBER((Datos!BY17+Datos!BZ17)/Datos!CN17),(Datos!BY17+Datos!BZ17)/Datos!CN17," - ")</f>
        <v xml:space="preserve"> - </v>
      </c>
      <c r="K17" s="229">
        <f t="shared" si="3"/>
        <v>-0.22972972972972974</v>
      </c>
      <c r="L17" s="1024">
        <f>IF(ISNUMBER(NºAsuntos!I17/NºAsuntos!G17),(NºAsuntos!I17/NºAsuntos!G17)*11," - ")</f>
        <v>7.0449438202247192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1069</v>
      </c>
      <c r="D18" s="1048">
        <f>SUBTOTAL(9,D15:D17)</f>
        <v>1069</v>
      </c>
      <c r="E18" s="1049">
        <f>SUBTOTAL(9,E15:E17)</f>
        <v>786</v>
      </c>
      <c r="F18" s="1049">
        <f>SUBTOTAL(9,F15:F17)</f>
        <v>588</v>
      </c>
      <c r="G18" s="1051" t="str">
        <f ca="1">INDIRECT(CONCATENATE("G",ROW()-1))</f>
        <v>37</v>
      </c>
      <c r="H18" s="1052">
        <f ca="1">SUMIF(G$14:G17,G18,H$14:H17)</f>
        <v>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1086</v>
      </c>
      <c r="D19" s="1070">
        <f>SUBTOTAL(9,D9:D18)</f>
        <v>1086</v>
      </c>
      <c r="E19" s="1071">
        <f>SUBTOTAL(9,E9:E18)</f>
        <v>791</v>
      </c>
      <c r="F19" s="1071">
        <f>SUBTOTAL(9,F9:F18)</f>
        <v>595</v>
      </c>
      <c r="G19" s="1072"/>
      <c r="H19" s="1073">
        <f ca="1">SUMIF(B9:B18,"TOTAL",H9:H18)</f>
        <v>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bxteYPCWwYqBYBXlPy1pbEdpvI2WuHhFowprwdfUk49NdrPOvV5lCbJjrvzg8czzcBNWg3QdcnJMz1rQRM4rg==" saltValue="9dv1gEzymDo8upFicP76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U/8x/upuLLKPOm9TI6UFOIFbEQuTum5k6cLqZ9r9mo57WfEvLICIz7KaFrVrqjfFdppR13UpdbodrRmBlFQqw==" saltValue="DAsw31twBud2e7rbyexm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v>
      </c>
      <c r="J10" s="180">
        <v>5</v>
      </c>
      <c r="K10" s="180">
        <v>7</v>
      </c>
      <c r="L10" s="180">
        <v>15</v>
      </c>
      <c r="M10" s="180">
        <v>3</v>
      </c>
      <c r="N10" s="180">
        <v>1</v>
      </c>
      <c r="O10" s="180">
        <v>2</v>
      </c>
      <c r="P10" s="180">
        <v>0</v>
      </c>
      <c r="Q10" s="180">
        <v>0</v>
      </c>
      <c r="R10" s="180">
        <v>9</v>
      </c>
      <c r="S10" s="180">
        <v>32</v>
      </c>
      <c r="T10" s="180">
        <v>0</v>
      </c>
      <c r="U10" s="180">
        <v>0</v>
      </c>
      <c r="V10" s="180">
        <v>32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v>
      </c>
      <c r="AZ10" s="129">
        <f t="shared" si="0"/>
        <v>0</v>
      </c>
      <c r="BA10" s="129">
        <f t="shared" si="0"/>
        <v>0</v>
      </c>
      <c r="BB10" s="129">
        <f t="shared" si="0"/>
        <v>32</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1470</v>
      </c>
      <c r="J12" s="182">
        <v>261</v>
      </c>
      <c r="K12" s="182">
        <v>397</v>
      </c>
      <c r="L12" s="182">
        <v>1334</v>
      </c>
      <c r="M12" s="182">
        <v>84</v>
      </c>
      <c r="N12" s="182">
        <v>256</v>
      </c>
      <c r="O12" s="180">
        <v>154</v>
      </c>
      <c r="P12" s="182">
        <v>35</v>
      </c>
      <c r="Q12" s="182">
        <v>42</v>
      </c>
      <c r="R12" s="182">
        <v>1756</v>
      </c>
      <c r="S12" s="182">
        <v>1112</v>
      </c>
      <c r="T12" s="182">
        <v>439</v>
      </c>
      <c r="U12" s="182">
        <v>245</v>
      </c>
      <c r="V12" s="182">
        <v>1306</v>
      </c>
      <c r="W12" s="182">
        <v>76</v>
      </c>
      <c r="X12" s="188">
        <v>121</v>
      </c>
      <c r="Y12" s="190">
        <v>103</v>
      </c>
      <c r="Z12" s="180">
        <v>47</v>
      </c>
      <c r="AA12" s="180">
        <v>53</v>
      </c>
      <c r="AB12" s="180">
        <v>97</v>
      </c>
      <c r="AC12" s="182">
        <v>0</v>
      </c>
      <c r="AD12" s="182">
        <v>0</v>
      </c>
      <c r="AE12" s="182">
        <v>0</v>
      </c>
      <c r="AF12" s="188">
        <v>0</v>
      </c>
      <c r="AG12" s="201">
        <v>60</v>
      </c>
      <c r="AH12" s="182">
        <v>46</v>
      </c>
      <c r="AI12" s="182">
        <v>39</v>
      </c>
      <c r="AJ12" s="202">
        <v>67</v>
      </c>
      <c r="AK12" s="181">
        <v>0</v>
      </c>
      <c r="AL12" s="182">
        <v>0</v>
      </c>
      <c r="AM12" s="182">
        <v>0</v>
      </c>
      <c r="AN12" s="188">
        <v>0</v>
      </c>
      <c r="AO12" s="258">
        <v>2</v>
      </c>
      <c r="AP12" s="154">
        <v>2</v>
      </c>
      <c r="AQ12" s="154">
        <v>2</v>
      </c>
      <c r="AR12" s="153">
        <v>2</v>
      </c>
      <c r="AS12" s="339" t="s">
        <v>794</v>
      </c>
      <c r="AT12" s="202"/>
      <c r="AU12" s="201"/>
      <c r="AV12" s="202"/>
      <c r="AW12" s="201"/>
      <c r="AX12" s="202"/>
      <c r="AY12" s="126">
        <f t="shared" si="1"/>
        <v>1172</v>
      </c>
      <c r="AZ12" s="127">
        <f t="shared" si="1"/>
        <v>485</v>
      </c>
      <c r="BA12" s="127">
        <f t="shared" si="1"/>
        <v>284</v>
      </c>
      <c r="BB12" s="127">
        <f t="shared" si="1"/>
        <v>1373</v>
      </c>
      <c r="BC12" s="125">
        <f>IF(ISNUMBER(X12),X12," - ")</f>
        <v>121</v>
      </c>
      <c r="BD12" s="126">
        <f t="shared" si="2"/>
        <v>0.58556701030927838</v>
      </c>
      <c r="BE12" s="127">
        <f t="shared" si="3"/>
        <v>4.834507042253521</v>
      </c>
      <c r="BF12" s="127">
        <f t="shared" si="4"/>
        <v>0.426056338028169</v>
      </c>
      <c r="BG12" s="195">
        <f t="shared" si="5"/>
        <v>5.834507042253521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1487</v>
      </c>
      <c r="J13" s="183">
        <f t="shared" si="6"/>
        <v>266</v>
      </c>
      <c r="K13" s="183">
        <f t="shared" si="6"/>
        <v>404</v>
      </c>
      <c r="L13" s="183">
        <f t="shared" si="6"/>
        <v>1349</v>
      </c>
      <c r="M13" s="183">
        <f t="shared" si="6"/>
        <v>87</v>
      </c>
      <c r="N13" s="183">
        <f t="shared" si="6"/>
        <v>257</v>
      </c>
      <c r="O13" s="183">
        <f t="shared" si="6"/>
        <v>156</v>
      </c>
      <c r="P13" s="183">
        <f t="shared" si="6"/>
        <v>35</v>
      </c>
      <c r="Q13" s="183">
        <f t="shared" si="6"/>
        <v>42</v>
      </c>
      <c r="R13" s="183">
        <f t="shared" si="6"/>
        <v>1765</v>
      </c>
      <c r="S13" s="183">
        <f t="shared" si="6"/>
        <v>1144</v>
      </c>
      <c r="T13" s="183">
        <f t="shared" si="6"/>
        <v>439</v>
      </c>
      <c r="U13" s="183">
        <f t="shared" si="6"/>
        <v>245</v>
      </c>
      <c r="V13" s="183">
        <f t="shared" si="6"/>
        <v>1338</v>
      </c>
      <c r="W13" s="183">
        <f t="shared" si="6"/>
        <v>76</v>
      </c>
      <c r="X13" s="183">
        <f t="shared" si="6"/>
        <v>121</v>
      </c>
      <c r="Y13" s="183">
        <f t="shared" si="6"/>
        <v>103</v>
      </c>
      <c r="Z13" s="183">
        <f t="shared" si="6"/>
        <v>47</v>
      </c>
      <c r="AA13" s="183">
        <f t="shared" si="6"/>
        <v>53</v>
      </c>
      <c r="AB13" s="183">
        <f t="shared" si="6"/>
        <v>97</v>
      </c>
      <c r="AC13" s="183">
        <f t="shared" si="6"/>
        <v>0</v>
      </c>
      <c r="AD13" s="183">
        <f t="shared" si="6"/>
        <v>0</v>
      </c>
      <c r="AE13" s="183">
        <f t="shared" si="6"/>
        <v>0</v>
      </c>
      <c r="AF13" s="183">
        <f>SUBTOTAL(9,AF9:AF12)</f>
        <v>0</v>
      </c>
      <c r="AG13" s="183">
        <f t="shared" ref="AG13:AT13" si="7">SUBTOTAL(9,AG8:AG12)</f>
        <v>60</v>
      </c>
      <c r="AH13" s="183">
        <f t="shared" si="7"/>
        <v>46</v>
      </c>
      <c r="AI13" s="183">
        <f t="shared" si="7"/>
        <v>39</v>
      </c>
      <c r="AJ13" s="183">
        <f t="shared" si="7"/>
        <v>67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1204</v>
      </c>
      <c r="AZ13" s="183">
        <f>SUBTOTAL(9,AZ8:AZ12)</f>
        <v>485</v>
      </c>
      <c r="BA13" s="183">
        <f>SUBTOTAL(9,BA8:BA12)</f>
        <v>284</v>
      </c>
      <c r="BB13" s="183">
        <f>SUBTOTAL(9,BB8:BB12)</f>
        <v>1405</v>
      </c>
      <c r="BC13" s="183">
        <f>SUBTOTAL(9,BC8:BC12)</f>
        <v>121</v>
      </c>
      <c r="BD13" s="204">
        <f>IF(ISNUMBER(BA13/AZ13),BA13/AZ13," - ")</f>
        <v>0.58556701030927838</v>
      </c>
      <c r="BE13" s="205">
        <f>IF(ISNUMBER(BB13/BA13),BB13/BA13, " - ")</f>
        <v>4.947183098591549</v>
      </c>
      <c r="BF13" s="205">
        <f>IF(ISNUMBER(BC13/BA13),BC13/BA13, " - ")</f>
        <v>0.426056338028169</v>
      </c>
      <c r="BG13" s="206">
        <f>IF(ISNUMBER((AY13+AZ13)/BA13),(AY13+AZ13)/BA13," - ")</f>
        <v>5.947183098591549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995</v>
      </c>
      <c r="J16" s="182">
        <v>714</v>
      </c>
      <c r="K16" s="182">
        <v>499</v>
      </c>
      <c r="L16" s="182">
        <v>1210</v>
      </c>
      <c r="M16" s="182">
        <v>54</v>
      </c>
      <c r="N16" s="182">
        <v>359</v>
      </c>
      <c r="O16" s="180">
        <v>5</v>
      </c>
      <c r="P16" s="182">
        <v>10</v>
      </c>
      <c r="Q16" s="182">
        <v>5</v>
      </c>
      <c r="R16" s="182">
        <v>71</v>
      </c>
      <c r="S16" s="182">
        <v>676</v>
      </c>
      <c r="T16" s="182">
        <v>612</v>
      </c>
      <c r="U16" s="182">
        <v>534</v>
      </c>
      <c r="V16" s="182">
        <v>754</v>
      </c>
      <c r="W16" s="182">
        <v>47</v>
      </c>
      <c r="X16" s="188">
        <v>395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676</v>
      </c>
      <c r="AZ16" s="127">
        <f t="shared" si="9"/>
        <v>612</v>
      </c>
      <c r="BA16" s="127">
        <f t="shared" si="9"/>
        <v>534</v>
      </c>
      <c r="BB16" s="127">
        <f t="shared" si="9"/>
        <v>754</v>
      </c>
      <c r="BC16" s="125">
        <f>IF(ISNUMBER(W16),W16," - ")</f>
        <v>47</v>
      </c>
      <c r="BD16" s="126">
        <f t="shared" ref="BD16" si="11">IF(ISNUMBER(BA16/AZ16),BA16/AZ16," - ")</f>
        <v>0.87254901960784315</v>
      </c>
      <c r="BE16" s="127">
        <f t="shared" ref="BE16" si="12">IF(ISNUMBER(BB16/BA16),BB16/BA16, " - ")</f>
        <v>1.4119850187265917</v>
      </c>
      <c r="BF16" s="127">
        <f t="shared" ref="BF16" si="13">IF(ISNUMBER(BC16/BA16),BC16/BA16, " - ")</f>
        <v>8.8014981273408247E-2</v>
      </c>
      <c r="BG16" s="195">
        <f t="shared" si="10"/>
        <v>2.4119850187265919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74</v>
      </c>
      <c r="J17" s="182">
        <v>72</v>
      </c>
      <c r="K17" s="182">
        <v>89</v>
      </c>
      <c r="L17" s="182">
        <v>57</v>
      </c>
      <c r="M17" s="182">
        <v>10</v>
      </c>
      <c r="N17" s="182">
        <v>51</v>
      </c>
      <c r="O17" s="182">
        <v>0</v>
      </c>
      <c r="P17" s="182">
        <v>0</v>
      </c>
      <c r="Q17" s="182">
        <v>0</v>
      </c>
      <c r="R17" s="182">
        <v>0</v>
      </c>
      <c r="S17" s="182">
        <v>65</v>
      </c>
      <c r="T17" s="182">
        <v>16</v>
      </c>
      <c r="U17" s="182">
        <v>14</v>
      </c>
      <c r="V17" s="182">
        <v>67</v>
      </c>
      <c r="W17" s="182">
        <v>6</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65</v>
      </c>
      <c r="AZ17" s="129">
        <f t="shared" si="14"/>
        <v>16</v>
      </c>
      <c r="BA17" s="129">
        <f t="shared" si="14"/>
        <v>14</v>
      </c>
      <c r="BB17" s="129">
        <f t="shared" si="14"/>
        <v>67</v>
      </c>
      <c r="BC17" s="125">
        <f>IF(ISNUMBER(W17),W17," - ")</f>
        <v>6</v>
      </c>
      <c r="BD17" s="126">
        <f>IF(ISNUMBER(BA17/AZ17),BA17/AZ17," - ")</f>
        <v>0.875</v>
      </c>
      <c r="BE17" s="127">
        <f>IF(ISNUMBER(BB17/BA17),BB17/BA17, " - ")</f>
        <v>4.7857142857142856</v>
      </c>
      <c r="BF17" s="127">
        <f>IF(ISNUMBER(BC17/BA17),BC17/BA17, " - ")</f>
        <v>0.42857142857142855</v>
      </c>
      <c r="BG17" s="195">
        <f>IF(ISNUMBER((AY17+AZ17)/BA17),(AY17+AZ17)/BA17," - ")</f>
        <v>5.7857142857142856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1069</v>
      </c>
      <c r="J18" s="183">
        <f t="shared" si="15"/>
        <v>786</v>
      </c>
      <c r="K18" s="183">
        <f t="shared" si="15"/>
        <v>588</v>
      </c>
      <c r="L18" s="183">
        <f t="shared" si="15"/>
        <v>1267</v>
      </c>
      <c r="M18" s="183">
        <f t="shared" si="15"/>
        <v>64</v>
      </c>
      <c r="N18" s="183">
        <f t="shared" si="15"/>
        <v>410</v>
      </c>
      <c r="O18" s="183">
        <f t="shared" si="15"/>
        <v>5</v>
      </c>
      <c r="P18" s="183">
        <f t="shared" si="15"/>
        <v>10</v>
      </c>
      <c r="Q18" s="183">
        <f t="shared" si="15"/>
        <v>5</v>
      </c>
      <c r="R18" s="183">
        <f t="shared" si="15"/>
        <v>71</v>
      </c>
      <c r="S18" s="183">
        <f t="shared" si="15"/>
        <v>741</v>
      </c>
      <c r="T18" s="183">
        <f t="shared" si="15"/>
        <v>628</v>
      </c>
      <c r="U18" s="183">
        <f t="shared" si="15"/>
        <v>548</v>
      </c>
      <c r="V18" s="183">
        <f t="shared" si="15"/>
        <v>821</v>
      </c>
      <c r="W18" s="183">
        <f t="shared" si="15"/>
        <v>53</v>
      </c>
      <c r="X18" s="183">
        <f t="shared" si="15"/>
        <v>406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741</v>
      </c>
      <c r="AZ18" s="183">
        <f>SUBTOTAL(9,AZ14:AZ17)</f>
        <v>628</v>
      </c>
      <c r="BA18" s="183">
        <f>SUBTOTAL(9,BA14:BA17)</f>
        <v>548</v>
      </c>
      <c r="BB18" s="183">
        <f>SUBTOTAL(9,BB14:BB17)</f>
        <v>821</v>
      </c>
      <c r="BC18" s="183">
        <f>SUBTOTAL(9,BC14:BC17)</f>
        <v>53</v>
      </c>
      <c r="BD18" s="204">
        <f>IF(ISNUMBER(BA18/AZ18),BA18/AZ18," - ")</f>
        <v>0.87261146496815289</v>
      </c>
      <c r="BE18" s="205">
        <f>IF(ISNUMBER(BB18/BA18),BB18/BA18, " - ")</f>
        <v>1.4981751824817517</v>
      </c>
      <c r="BF18" s="205">
        <f>IF(ISNUMBER(BC18/BA18),BC18/BA18, " - ")</f>
        <v>9.6715328467153291E-2</v>
      </c>
      <c r="BG18" s="206">
        <f>IF(ISNUMBER((AY18+AZ18)/BA18),(AY18+AZ18)/BA18," - ")</f>
        <v>2.4981751824817517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2556</v>
      </c>
      <c r="J19" s="134">
        <f t="shared" si="18"/>
        <v>1052</v>
      </c>
      <c r="K19" s="134">
        <f t="shared" si="18"/>
        <v>992</v>
      </c>
      <c r="L19" s="134">
        <f t="shared" si="18"/>
        <v>2616</v>
      </c>
      <c r="M19" s="134">
        <f t="shared" si="18"/>
        <v>151</v>
      </c>
      <c r="N19" s="134">
        <f t="shared" si="18"/>
        <v>667</v>
      </c>
      <c r="O19" s="134">
        <f t="shared" si="18"/>
        <v>161</v>
      </c>
      <c r="P19" s="134">
        <f t="shared" si="18"/>
        <v>45</v>
      </c>
      <c r="Q19" s="134">
        <f t="shared" si="18"/>
        <v>47</v>
      </c>
      <c r="R19" s="134">
        <f t="shared" si="18"/>
        <v>1836</v>
      </c>
      <c r="S19" s="134">
        <f t="shared" si="18"/>
        <v>1885</v>
      </c>
      <c r="T19" s="134">
        <f t="shared" si="18"/>
        <v>1067</v>
      </c>
      <c r="U19" s="134">
        <f t="shared" si="18"/>
        <v>793</v>
      </c>
      <c r="V19" s="134">
        <f t="shared" si="18"/>
        <v>2159</v>
      </c>
      <c r="W19" s="134">
        <f t="shared" si="18"/>
        <v>129</v>
      </c>
      <c r="X19" s="134">
        <f t="shared" si="18"/>
        <v>527</v>
      </c>
      <c r="Y19" s="134">
        <f t="shared" si="18"/>
        <v>103</v>
      </c>
      <c r="Z19" s="134">
        <f t="shared" si="18"/>
        <v>47</v>
      </c>
      <c r="AA19" s="134">
        <f t="shared" si="18"/>
        <v>53</v>
      </c>
      <c r="AB19" s="134">
        <f t="shared" si="18"/>
        <v>97</v>
      </c>
      <c r="AC19" s="134">
        <f t="shared" si="18"/>
        <v>0</v>
      </c>
      <c r="AD19" s="134">
        <f t="shared" si="18"/>
        <v>0</v>
      </c>
      <c r="AE19" s="134">
        <f t="shared" si="18"/>
        <v>0</v>
      </c>
      <c r="AF19" s="134">
        <f t="shared" si="18"/>
        <v>0</v>
      </c>
      <c r="AG19" s="134">
        <f t="shared" si="18"/>
        <v>60</v>
      </c>
      <c r="AH19" s="134">
        <f t="shared" si="18"/>
        <v>46</v>
      </c>
      <c r="AI19" s="134">
        <f t="shared" si="18"/>
        <v>39</v>
      </c>
      <c r="AJ19" s="134">
        <f t="shared" si="18"/>
        <v>67</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1945</v>
      </c>
      <c r="AZ19" s="134">
        <f>SUBTOTAL(9,AZ9:AZ18)</f>
        <v>1113</v>
      </c>
      <c r="BA19" s="134">
        <f>SUBTOTAL(9,BA9:BA18)</f>
        <v>832</v>
      </c>
      <c r="BB19" s="134">
        <f>SUBTOTAL(9,BB9:BB18)</f>
        <v>2226</v>
      </c>
      <c r="BC19" s="135">
        <f>SUBTOTAL(9,BC9:BC18)</f>
        <v>174</v>
      </c>
      <c r="BD19" s="212">
        <f>IF(ISNUMBER(BA19/AZ19),BA19/AZ19," - ")</f>
        <v>0.74752920035938908</v>
      </c>
      <c r="BE19" s="209">
        <f>IF(ISNUMBER(BB19/BA19),BB19/BA19, " - ")</f>
        <v>2.6754807692307692</v>
      </c>
      <c r="BF19" s="209">
        <f>IF(ISNUMBER(BC19/BA19),BC19/BA19, " - ")</f>
        <v>0.20913461538461539</v>
      </c>
      <c r="BG19" s="135">
        <f>IF(ISNUMBER((AY19+AZ19)/BA19),(AY19+AZ19)/BA19," - ")</f>
        <v>3.6754807692307692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TZJyYcbCpLyB8/05WaZ/3kzJKU7uye5MnxLHc44ENDbrXMAm7zeM0RZkx54aZp5VQvqO2/gVjbsMlU4X49lGw==" saltValue="FJoFNzK9utLZZJSzetmfI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QsAxtSRemkbSFwtOO8TooNS4IZpNHnK/F70XlpII9Zw+Fnukh+SUZNBoRh8wEsWeAiqR/uF3ivcAsLKGGNalQ==" saltValue="aRvF7sD5lmldd6HRV+hiG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BAZA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17</v>
      </c>
      <c r="G10" s="332">
        <f>IF(ISNUMBER(Datos!I10),Datos!I10," - ")</f>
        <v>17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7</v>
      </c>
      <c r="AC10" s="225">
        <f>IF(ISNUMBER(Datos!Q10),Datos!Q10," - ")</f>
        <v>0</v>
      </c>
      <c r="AD10" s="333"/>
      <c r="AE10" s="483"/>
      <c r="AF10" s="331">
        <f>IF(ISNUMBER(Datos!L10),Datos!L10,"-")</f>
        <v>15</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1.4</v>
      </c>
      <c r="BH10" s="259">
        <f>IF(ISNUMBER(((Datos!L10/Datos!K10)*11)/factor_trimestre),((Datos!L10/Datos!K10)*11)/factor_trimestre," - ")</f>
        <v>6.4285714285714279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97</v>
      </c>
      <c r="AI12" s="333" t="str">
        <f>IF(ISNUMBER(Datos!CD12),Datos!CD12,"-")</f>
        <v>-</v>
      </c>
      <c r="AJ12" s="333" t="str">
        <f>IF(ISNUMBER(Datos!EN12),Datos!EN12," - ")</f>
        <v xml:space="preserve"> - </v>
      </c>
      <c r="AK12" s="333"/>
      <c r="AL12" s="478"/>
      <c r="AM12" s="334">
        <f>IF(ISNUMBER(Datos!R12),Datos!R12," - ")</f>
        <v>1756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84</v>
      </c>
      <c r="BD12" s="228">
        <f>IF(ISNUMBER(Datos!N12),Datos!N12," - ")</f>
        <v>256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1.4610389610389611</v>
      </c>
      <c r="BH12" s="259">
        <f>IF(ISNUMBER(((IF(J_V="SI",Datos!L12/Datos!K12,(Datos!L12+Datos!AB12)/(Datos!K12+Datos!AA12)))*11)/factor_trimestre),((IF(J_V="SI",Datos!L12/Datos!K12,(Datos!L12+Datos!AB12)/(Datos!K12+Datos!AA12)))*11)/factor_trimestre," - ")</f>
        <v>9.5400000000000009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-3.9705048213272828E-3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17</v>
      </c>
      <c r="G13" s="897">
        <f t="shared" si="0"/>
        <v>17</v>
      </c>
      <c r="H13" s="898">
        <f t="shared" si="0"/>
        <v>0</v>
      </c>
      <c r="I13" s="897">
        <f t="shared" si="0"/>
        <v>0</v>
      </c>
      <c r="J13" s="866">
        <f t="shared" si="0"/>
        <v>0</v>
      </c>
      <c r="K13" s="866">
        <f t="shared" si="0"/>
        <v>0</v>
      </c>
      <c r="L13" s="898">
        <f t="shared" si="0"/>
        <v>0</v>
      </c>
      <c r="M13" s="898">
        <f t="shared" si="0"/>
        <v>0</v>
      </c>
      <c r="N13" s="898">
        <f t="shared" si="0"/>
        <v>47</v>
      </c>
      <c r="O13" s="899">
        <f t="shared" si="0"/>
        <v>0</v>
      </c>
      <c r="P13" s="899">
        <f t="shared" si="0"/>
        <v>0</v>
      </c>
      <c r="Q13" s="898">
        <f t="shared" si="0"/>
        <v>35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7</v>
      </c>
      <c r="AC13" s="898">
        <f t="shared" si="1"/>
        <v>42</v>
      </c>
      <c r="AD13" s="898">
        <f t="shared" si="1"/>
        <v>0</v>
      </c>
      <c r="AE13" s="898">
        <f t="shared" si="1"/>
        <v>0</v>
      </c>
      <c r="AF13" s="898">
        <f t="shared" si="1"/>
        <v>15</v>
      </c>
      <c r="AG13" s="898">
        <f t="shared" si="1"/>
        <v>0</v>
      </c>
      <c r="AH13" s="898">
        <f t="shared" si="1"/>
        <v>97</v>
      </c>
      <c r="AI13" s="898">
        <f t="shared" si="1"/>
        <v>0</v>
      </c>
      <c r="AJ13" s="898">
        <f t="shared" si="1"/>
        <v>0</v>
      </c>
      <c r="AK13" s="898">
        <f t="shared" si="1"/>
        <v>0</v>
      </c>
      <c r="AL13" s="898">
        <f t="shared" si="1"/>
        <v>0</v>
      </c>
      <c r="AM13" s="898">
        <f t="shared" si="1"/>
        <v>1765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87</v>
      </c>
      <c r="BD13" s="898">
        <f t="shared" si="1"/>
        <v>257</v>
      </c>
      <c r="BE13" s="898">
        <f t="shared" si="1"/>
        <v>0</v>
      </c>
      <c r="BF13" s="898">
        <f t="shared" si="1"/>
        <v>0</v>
      </c>
      <c r="BG13" s="898">
        <f>IF(ISNUMBER(Datos!K13/Datos!J13),Datos!K13/Datos!J13," - ")</f>
        <v>1.518796992481203</v>
      </c>
      <c r="BH13" s="902">
        <f>IF(ISNUMBER(((Datos!L13/Datos!K13)*11)/factor_trimestre),((Datos!L13/Datos!K13)*11)/factor_trimestre," - ")</f>
        <v>10.017326732673268</v>
      </c>
      <c r="BI13" s="898">
        <f>IF(ISNUMBER('Resol  Asuntos'!D13/NºAsuntos!G13),'Resol  Asuntos'!D13/NºAsuntos!G13," - ")</f>
        <v>0.19037199124726478</v>
      </c>
      <c r="BJ13" s="898" t="str">
        <f>IF(ISNUMBER(Datos!CI13/Datos!CJ13),Datos!CI13/Datos!CJ13," - ")</f>
        <v xml:space="preserve"> - </v>
      </c>
      <c r="BK13" s="898">
        <f>SUBTOTAL(9,BK8:BK12)</f>
        <v>0</v>
      </c>
      <c r="BL13" s="898">
        <f>IF(ISNUMBER((I13-AB13+L13)/(F13)),(I13-AB13+L13)/(F13)," - ")</f>
        <v>-0.41176470588235292</v>
      </c>
      <c r="BM13" s="903">
        <f>SUBTOTAL(9,BM9:BM12)</f>
        <v>-3.9705048213272828E-3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995</v>
      </c>
      <c r="G16" s="597">
        <f>IF(ISNUMBER(IF(D_I="SI",Datos!I16,Datos!I16+Datos!AC16)),IF(D_I="SI",Datos!I16,Datos!I16+Datos!AC16)," - ")</f>
        <v>995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499</v>
      </c>
      <c r="AC16" s="225">
        <f>IF(ISNUMBER(Datos!Q16),Datos!Q16," - ")</f>
        <v>5</v>
      </c>
      <c r="AD16" s="333"/>
      <c r="AE16" s="483"/>
      <c r="AF16" s="595">
        <f>IF(ISNUMBER(IF(D_I="SI",Datos!L16,Datos!L16+Datos!AF16)),IF(D_I="SI",Datos!L16,Datos!L16+Datos!AF16)," - ")</f>
        <v>1210</v>
      </c>
      <c r="AG16" s="333"/>
      <c r="AH16" s="333"/>
      <c r="AI16" s="333"/>
      <c r="AJ16" s="333"/>
      <c r="AK16" s="333"/>
      <c r="AL16" s="478"/>
      <c r="AM16" s="334">
        <f>IF(ISNUMBER(Datos!R16),Datos!R16," - ")</f>
        <v>71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v>
      </c>
      <c r="BD16" s="228">
        <f>IF(ISNUMBER(Datos!N16),Datos!N16," - ")</f>
        <v>359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0.69887955182072825</v>
      </c>
      <c r="BH16" s="259">
        <f>IF(ISNUMBER(((IF(D_I="SI",Datos!L16/Datos!K16,(Datos!L16+Datos!AF16)/(Datos!K16+Datos!AE16)))*11)/factor_trimestre),((IF(D_I="SI",Datos!L16/Datos!K16,(Datos!L16+Datos!AF16)/(Datos!K16+Datos!AE16)))*11)/factor_trimestre," - ")</f>
        <v>7.2745490981963927</v>
      </c>
      <c r="BI16" s="242">
        <f>IF(ISNUMBER('Resol  Asuntos'!D16/NºAsuntos!G16),'Resol  Asuntos'!D16/NºAsuntos!G16," - ")</f>
        <v>0.10821643286573146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89</v>
      </c>
      <c r="AC17" s="225">
        <f>IF(ISNUMBER(Datos!Q17),Datos!Q17," - ")</f>
        <v>0</v>
      </c>
      <c r="AD17" s="333"/>
      <c r="AE17" s="483"/>
      <c r="AF17" s="331">
        <f>IF(ISNUMBER(Datos!L17),Datos!L17,"-")</f>
        <v>57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51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1.2361111111111112</v>
      </c>
      <c r="BH17" s="259">
        <f>IF(ISNUMBER(((IF(D_I="SI",Datos!L17/Datos!K17,(Datos!L17+Datos!AF17)/(Datos!K17+Datos!AE17)))*11)/factor_trimestre),((IF(D_I="SI",Datos!L17/Datos!K17,(Datos!L17+Datos!AF17)/(Datos!K17+Datos!AE17)))*11)/factor_trimestre," - ")</f>
        <v>1.9213483146067416</v>
      </c>
      <c r="BI17" s="242">
        <f>IF(ISNUMBER('Resol  Asuntos'!D17/NºAsuntos!G17),'Resol  Asuntos'!D17/NºAsuntos!G17," - ")</f>
        <v>0.11235955056179775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995</v>
      </c>
      <c r="G18" s="897">
        <f>SUBTOTAL(9,G15:G17)</f>
        <v>1069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588</v>
      </c>
      <c r="AC18" s="898">
        <f t="shared" si="4"/>
        <v>5</v>
      </c>
      <c r="AD18" s="898">
        <f t="shared" si="4"/>
        <v>0</v>
      </c>
      <c r="AE18" s="898">
        <f t="shared" si="4"/>
        <v>0</v>
      </c>
      <c r="AF18" s="898">
        <f t="shared" si="4"/>
        <v>1267</v>
      </c>
      <c r="AG18" s="898">
        <f t="shared" si="4"/>
        <v>0</v>
      </c>
      <c r="AH18" s="898">
        <f t="shared" si="4"/>
        <v>0</v>
      </c>
      <c r="AI18" s="898">
        <f t="shared" si="4"/>
        <v>0</v>
      </c>
      <c r="AJ18" s="898">
        <f t="shared" si="4"/>
        <v>0</v>
      </c>
      <c r="AK18" s="898">
        <f t="shared" si="4"/>
        <v>0</v>
      </c>
      <c r="AL18" s="898">
        <f t="shared" si="4"/>
        <v>0</v>
      </c>
      <c r="AM18" s="898">
        <f t="shared" si="4"/>
        <v>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v>
      </c>
      <c r="BD18" s="898">
        <f t="shared" si="4"/>
        <v>410</v>
      </c>
      <c r="BE18" s="898">
        <f t="shared" si="4"/>
        <v>0</v>
      </c>
      <c r="BF18" s="898">
        <f t="shared" si="4"/>
        <v>0</v>
      </c>
      <c r="BG18" s="898">
        <f>IF(ISNUMBER(Datos!K18/Datos!J18),Datos!K18/Datos!J18," - ")</f>
        <v>0.74809160305343514</v>
      </c>
      <c r="BH18" s="902">
        <f>IF(ISNUMBER(((Datos!L18/Datos!K18)*11)/factor_trimestre),((Datos!L18/Datos!K18)*11)/factor_trimestre," - ")</f>
        <v>6.4642857142857144</v>
      </c>
      <c r="BI18" s="898">
        <f>SUBTOTAL(9,BI15:BI17)</f>
        <v>0.22057598342752921</v>
      </c>
      <c r="BJ18" s="898">
        <f>SUBTOTAL(9,BJ15:BJ17)</f>
        <v>0</v>
      </c>
      <c r="BK18" s="898">
        <f>SUBTOTAL(9,BK15:BK17)</f>
        <v>0</v>
      </c>
      <c r="BL18" s="898">
        <f>IF(ISNUMBER((I18-AB18+L18)/(F18)),(I18-AB18+L18)/(F18)," - ")</f>
        <v>-0.59095477386934669</v>
      </c>
      <c r="BM18" s="904">
        <f>IF(ISNUMBER((Datos!P18-Datos!Q18)/(Datos!R18-Datos!P18+Datos!Q18)),(Datos!P18-Datos!Q18)/(Datos!R18-Datos!P18+Datos!Q18)," - ")</f>
        <v>7.575757575757576E-2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1012</v>
      </c>
      <c r="G19" s="819">
        <f t="shared" si="6"/>
        <v>1086</v>
      </c>
      <c r="H19" s="821">
        <f t="shared" si="6"/>
        <v>0</v>
      </c>
      <c r="I19" s="819">
        <f t="shared" si="6"/>
        <v>0</v>
      </c>
      <c r="J19" s="821">
        <f t="shared" si="6"/>
        <v>0</v>
      </c>
      <c r="K19" s="821">
        <f t="shared" si="6"/>
        <v>0</v>
      </c>
      <c r="L19" s="880">
        <f t="shared" si="6"/>
        <v>0</v>
      </c>
      <c r="M19" s="880">
        <f t="shared" si="6"/>
        <v>0</v>
      </c>
      <c r="N19" s="880">
        <f t="shared" si="6"/>
        <v>47</v>
      </c>
      <c r="O19" s="880">
        <f t="shared" si="6"/>
        <v>0</v>
      </c>
      <c r="P19" s="880">
        <f t="shared" si="6"/>
        <v>0</v>
      </c>
      <c r="Q19" s="821">
        <f t="shared" si="6"/>
        <v>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595</v>
      </c>
      <c r="AC19" s="820">
        <f t="shared" si="7"/>
        <v>47</v>
      </c>
      <c r="AD19" s="820">
        <f t="shared" si="7"/>
        <v>0</v>
      </c>
      <c r="AE19" s="820">
        <f t="shared" si="7"/>
        <v>0</v>
      </c>
      <c r="AF19" s="827">
        <f t="shared" si="7"/>
        <v>1282</v>
      </c>
      <c r="AG19" s="827">
        <f t="shared" si="7"/>
        <v>0</v>
      </c>
      <c r="AH19" s="827">
        <f t="shared" si="7"/>
        <v>97</v>
      </c>
      <c r="AI19" s="827">
        <f t="shared" si="7"/>
        <v>0</v>
      </c>
      <c r="AJ19" s="820">
        <f t="shared" si="7"/>
        <v>0</v>
      </c>
      <c r="AK19" s="827">
        <f t="shared" si="7"/>
        <v>0</v>
      </c>
      <c r="AL19" s="827">
        <f t="shared" si="7"/>
        <v>0</v>
      </c>
      <c r="AM19" s="827">
        <f t="shared" si="7"/>
        <v>1836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151</v>
      </c>
      <c r="BD19" s="819">
        <f t="shared" si="7"/>
        <v>667</v>
      </c>
      <c r="BE19" s="819">
        <f t="shared" si="7"/>
        <v>0</v>
      </c>
      <c r="BF19" s="829">
        <f t="shared" si="7"/>
        <v>0</v>
      </c>
      <c r="BG19" s="914">
        <f>IF(ISNUMBER(Datos!K19/Datos!J19),Datos!K19/Datos!J19," - ")</f>
        <v>0.94296577946768056</v>
      </c>
      <c r="BH19" s="914">
        <f>IF(ISNUMBER(((Datos!L19/Datos!K19)*11)/factor_trimestre),((Datos!L19/Datos!K19)*11)/factor_trimestre," - ")</f>
        <v>7.911290322580645</v>
      </c>
      <c r="BI19" s="812">
        <f>IF(ISNUMBER(Datos!J19/Datos!I19),Datos!J19/Datos!I19," - ")</f>
        <v>0.41158059467918623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-0.5879446640316206</v>
      </c>
      <c r="BM19" s="888">
        <f>IF(ISNUMBER((Datos!P19-Datos!Q19+R19)/(Datos!R19-Datos!P19+Datos!Q19-R19)),(Datos!P19-Datos!Q19+R19)/(Datos!R19-Datos!P19+Datos!Q19-R19)," - ")</f>
        <v>-1.088139281828074E-3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564.64856326745405</v>
      </c>
      <c r="G21" s="551">
        <f>IF(ISNUMBER(STDEV(G8:G18)),STDEV(G8:G18),"-")</f>
        <v>546.65418684941949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282.64111519734706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36.181026335175552</v>
      </c>
      <c r="BD21" s="550"/>
      <c r="BE21" s="550">
        <f>IF(ISNUMBER(STDEV(BE8:BE18)),STDEV(BE8:BE18),"-")</f>
        <v>0</v>
      </c>
      <c r="BF21" s="555">
        <f>IF(ISNUMBER(STDEV(BF8:BF18)),STDEV(BF8:BF18),"-")</f>
        <v>0</v>
      </c>
      <c r="BG21" s="774">
        <f>IF(ISNUMBER(STDEV(BG8:BG18)),STDEV(BG8:BG18),"-")</f>
        <v>0.36422187587549404</v>
      </c>
      <c r="BH21" s="775">
        <f>IF(ISNUMBER(STDEV(BH8:BH18)),STDEV(BH8:BH18),"-")</f>
        <v>2.8988475213318226</v>
      </c>
      <c r="BI21" s="248">
        <f>IF(ISNUMBER(STDEV(BI8:BI18)),STDEV(BI8:BI18),"-")</f>
        <v>5.6347425397547765E-2</v>
      </c>
      <c r="BJ21" s="229" t="str">
        <f>IF(ISNUMBER(BL21/BM21),BL21/BM21," - ")</f>
        <v xml:space="preserve"> - </v>
      </c>
      <c r="BK21" s="574"/>
      <c r="BL21" s="558">
        <f>IF(ISNUMBER(STDEV(BL8:BL18)),STDEV(BL8:BL18),"-")</f>
        <v>0.12670651219488202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cn98RAEwbFnCKFdjPgwdhPr4DWNubVKmr252aJczeZqtaTzVOJNl6meq8DsLtZu4SBlemu4uDtCzbSsKogPBQ==" saltValue="BAzQVZ+EikAQH7LKGs3V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BAZA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17</v>
      </c>
      <c r="G10" s="224">
        <f>IF(ISNUMBER(Datos!I10),Datos!I10," - ")</f>
        <v>17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7</v>
      </c>
      <c r="Z10" s="618">
        <f>IF(ISNUMBER(Datos!Q10),Datos!Q10," - ")</f>
        <v>0</v>
      </c>
      <c r="AA10" s="331">
        <f>IF(ISNUMBER(Datos!L10),Datos!L10,"-")</f>
        <v>15</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6.4285714285714279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1756</v>
      </c>
      <c r="AF12" s="228" t="str">
        <f>IF(ISNUMBER(Datos!BV12),Datos!BV12," - ")</f>
        <v xml:space="preserve"> - </v>
      </c>
      <c r="AG12" s="224" t="str">
        <f>IF(ISNUMBER(Datos!DV12),Datos!DV12," - ")</f>
        <v xml:space="preserve"> - </v>
      </c>
      <c r="AH12" s="297"/>
      <c r="AI12" s="226"/>
      <c r="AJ12" s="224">
        <f>IF(ISNUMBER(Datos!M12),Datos!M12," - ")</f>
        <v>84</v>
      </c>
      <c r="AK12" s="228">
        <f>IF(ISNUMBER(Datos!N12),Datos!N12," - ")</f>
        <v>256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9.5400000000000009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-3.9705048213272828E-3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17</v>
      </c>
      <c r="G13" s="897">
        <f>SUBTOTAL(9,G8:G12)</f>
        <v>17</v>
      </c>
      <c r="H13" s="907"/>
      <c r="I13" s="897">
        <f t="shared" ref="I13:N13" si="0">SUBTOTAL(9,I8:I12)</f>
        <v>0</v>
      </c>
      <c r="J13" s="866">
        <f t="shared" si="0"/>
        <v>0</v>
      </c>
      <c r="K13" s="907">
        <f t="shared" si="0"/>
        <v>0</v>
      </c>
      <c r="L13" s="907">
        <f t="shared" si="0"/>
        <v>0</v>
      </c>
      <c r="M13" s="907">
        <f t="shared" si="0"/>
        <v>0</v>
      </c>
      <c r="N13" s="907">
        <f t="shared" si="0"/>
        <v>35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7</v>
      </c>
      <c r="Z13" s="906">
        <f t="shared" si="2"/>
        <v>42</v>
      </c>
      <c r="AA13" s="899">
        <f t="shared" si="2"/>
        <v>15</v>
      </c>
      <c r="AB13" s="899">
        <f t="shared" si="2"/>
        <v>0</v>
      </c>
      <c r="AC13" s="899">
        <f t="shared" si="2"/>
        <v>0</v>
      </c>
      <c r="AD13" s="899">
        <f t="shared" si="2"/>
        <v>0</v>
      </c>
      <c r="AE13" s="899">
        <f t="shared" si="2"/>
        <v>1765</v>
      </c>
      <c r="AF13" s="907">
        <f t="shared" si="2"/>
        <v>0</v>
      </c>
      <c r="AG13" s="907">
        <f t="shared" si="2"/>
        <v>0</v>
      </c>
      <c r="AH13" s="907">
        <f t="shared" si="2"/>
        <v>0</v>
      </c>
      <c r="AI13" s="907">
        <f t="shared" si="2"/>
        <v>0</v>
      </c>
      <c r="AJ13" s="907">
        <f t="shared" si="2"/>
        <v>87</v>
      </c>
      <c r="AK13" s="907">
        <f t="shared" si="2"/>
        <v>257</v>
      </c>
      <c r="AL13" s="907">
        <f t="shared" si="2"/>
        <v>0</v>
      </c>
      <c r="AM13" s="907">
        <f t="shared" si="2"/>
        <v>0</v>
      </c>
      <c r="AN13" s="907">
        <f t="shared" si="2"/>
        <v>0</v>
      </c>
      <c r="AO13" s="903">
        <f>IF(ISNUMBER(((NºAsuntos!I13/NºAsuntos!G13)*11)/factor_trimestre),((NºAsuntos!I13/NºAsuntos!G13)*11)/factor_trimestre," - ")</f>
        <v>9.4923413566739612</v>
      </c>
      <c r="AP13" s="909" t="str">
        <f>IF(ISNUMBER(Datos!CI13/Datos!CJ13),Datos!CI13/Datos!CJ13," - ")</f>
        <v xml:space="preserve"> - </v>
      </c>
      <c r="AQ13" s="927">
        <f t="shared" ref="AQ13:AV13" si="3">SUBTOTAL(9,AQ9:AQ12)</f>
        <v>0</v>
      </c>
      <c r="AR13" s="927">
        <f t="shared" si="3"/>
        <v>-3.9705048213272828E-3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995</v>
      </c>
      <c r="G16" s="224">
        <f>IF(ISNUMBER(IF(D_I="SI",Datos!I16,Datos!I16+Datos!AC16)),IF(D_I="SI",Datos!I16,Datos!I16+Datos!AC16)," - ")</f>
        <v>995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499</v>
      </c>
      <c r="Z16" s="618">
        <f>IF(ISNUMBER(Datos!Q16),Datos!Q16," - ")</f>
        <v>5</v>
      </c>
      <c r="AA16" s="331">
        <f>IF(ISNUMBER(IF(D_I="SI",Datos!L16,Datos!L16+Datos!AF16)),IF(D_I="SI",Datos!L16,Datos!L16+Datos!AF16)," - ")</f>
        <v>1210</v>
      </c>
      <c r="AB16" s="333"/>
      <c r="AC16" s="333"/>
      <c r="AD16" s="483"/>
      <c r="AE16" s="483">
        <f>IF(ISNUMBER(Datos!R16),Datos!R16," - ")</f>
        <v>71</v>
      </c>
      <c r="AF16" s="228" t="str">
        <f>IF(ISNUMBER(Datos!BV16),Datos!BV16," - ")</f>
        <v xml:space="preserve"> - </v>
      </c>
      <c r="AG16" s="224"/>
      <c r="AH16" s="297"/>
      <c r="AI16" s="226"/>
      <c r="AJ16" s="224">
        <f>IF(ISNUMBER(Datos!M16),Datos!M16," - ")</f>
        <v>54</v>
      </c>
      <c r="AK16" s="228">
        <f>IF(ISNUMBER(Datos!N16),Datos!N16," - ")</f>
        <v>359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7.2745490981963927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89</v>
      </c>
      <c r="Z17" s="618">
        <f>IF(ISNUMBER(Datos!Q17),Datos!Q17," - ")</f>
        <v>0</v>
      </c>
      <c r="AA17" s="331">
        <f>IF(ISNUMBER(Datos!L17),Datos!L17,"-")</f>
        <v>57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1.9213483146067416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995</v>
      </c>
      <c r="G18" s="897">
        <f>SUBTOTAL(9,G15:G17)</f>
        <v>1069</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588</v>
      </c>
      <c r="Z18" s="931">
        <f t="shared" si="5"/>
        <v>5</v>
      </c>
      <c r="AA18" s="931">
        <f t="shared" si="5"/>
        <v>1267</v>
      </c>
      <c r="AB18" s="931">
        <f t="shared" si="5"/>
        <v>0</v>
      </c>
      <c r="AC18" s="931">
        <f t="shared" si="5"/>
        <v>0</v>
      </c>
      <c r="AD18" s="931">
        <f t="shared" si="5"/>
        <v>0</v>
      </c>
      <c r="AE18" s="931">
        <f t="shared" si="5"/>
        <v>71</v>
      </c>
      <c r="AF18" s="931">
        <f t="shared" si="5"/>
        <v>0</v>
      </c>
      <c r="AG18" s="931">
        <f t="shared" si="5"/>
        <v>0</v>
      </c>
      <c r="AH18" s="931">
        <f t="shared" si="5"/>
        <v>0</v>
      </c>
      <c r="AI18" s="931">
        <f t="shared" si="5"/>
        <v>0</v>
      </c>
      <c r="AJ18" s="931">
        <f t="shared" si="5"/>
        <v>64</v>
      </c>
      <c r="AK18" s="931">
        <f t="shared" si="5"/>
        <v>410</v>
      </c>
      <c r="AL18" s="931">
        <f t="shared" si="5"/>
        <v>0</v>
      </c>
      <c r="AM18" s="931">
        <f t="shared" si="5"/>
        <v>0</v>
      </c>
      <c r="AN18" s="931">
        <f t="shared" si="5"/>
        <v>0</v>
      </c>
      <c r="AO18" s="933">
        <f>IF(ISNUMBER(((NºAsuntos!I18/NºAsuntos!G18)*11)/factor_trimestre),((NºAsuntos!I18/NºAsuntos!G18)*11)/factor_trimestre," - ")</f>
        <v>6.4642857142857144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1012</v>
      </c>
      <c r="G19" s="819">
        <f t="shared" si="7"/>
        <v>1086</v>
      </c>
      <c r="H19" s="820">
        <f t="shared" si="7"/>
        <v>0</v>
      </c>
      <c r="I19" s="819">
        <f t="shared" si="7"/>
        <v>0</v>
      </c>
      <c r="J19" s="821">
        <f t="shared" si="7"/>
        <v>0</v>
      </c>
      <c r="K19" s="819">
        <f t="shared" si="7"/>
        <v>0</v>
      </c>
      <c r="L19" s="822">
        <f t="shared" si="7"/>
        <v>0</v>
      </c>
      <c r="M19" s="819">
        <f t="shared" si="7"/>
        <v>0</v>
      </c>
      <c r="N19" s="820">
        <f t="shared" si="7"/>
        <v>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595</v>
      </c>
      <c r="Z19" s="826">
        <f t="shared" si="8"/>
        <v>47</v>
      </c>
      <c r="AA19" s="827">
        <f t="shared" si="8"/>
        <v>1282</v>
      </c>
      <c r="AB19" s="827">
        <f t="shared" si="8"/>
        <v>0</v>
      </c>
      <c r="AC19" s="827">
        <f t="shared" si="8"/>
        <v>0</v>
      </c>
      <c r="AD19" s="828">
        <f t="shared" si="8"/>
        <v>0</v>
      </c>
      <c r="AE19" s="828">
        <f t="shared" si="8"/>
        <v>1836</v>
      </c>
      <c r="AF19" s="829">
        <f t="shared" si="8"/>
        <v>0</v>
      </c>
      <c r="AG19" s="830">
        <f t="shared" si="8"/>
        <v>0</v>
      </c>
      <c r="AH19" s="831">
        <f t="shared" si="8"/>
        <v>0</v>
      </c>
      <c r="AI19" s="829">
        <f t="shared" si="8"/>
        <v>0</v>
      </c>
      <c r="AJ19" s="819">
        <f t="shared" si="8"/>
        <v>151</v>
      </c>
      <c r="AK19" s="819">
        <f t="shared" si="8"/>
        <v>667</v>
      </c>
      <c r="AL19" s="819">
        <f t="shared" si="8"/>
        <v>0</v>
      </c>
      <c r="AM19" s="832">
        <f t="shared" si="8"/>
        <v>0</v>
      </c>
      <c r="AN19" s="822">
        <f>IF(ISNUMBER(Datos!K19/Datos!J19),Datos!K19/Datos!J19," - ")</f>
        <v>0.94296577946768056</v>
      </c>
      <c r="AO19" s="822">
        <f>IF(ISNUMBER(FIND("06",Criterios!A8,1)),(IF(ISNUMBER(((Datos!R19/Datos!Q19)*11)/factor_trimestre),((Datos!R19/Datos!Q19)*11)/factor_trimestre," - ")),(IF(ISNUMBER(((Datos!L19/Datos!K19)*11)/factor_trimestre),((Datos!L19/Datos!K19)*11)/factor_trimestre," - ")))</f>
        <v>7.911290322580645</v>
      </c>
      <c r="AP19" s="833" t="str">
        <f>IF(ISNUMBER(Datos!CI19/Datos!CJ19),Datos!CI19/Datos!CJ19," - ")</f>
        <v xml:space="preserve"> - </v>
      </c>
      <c r="AQ19" s="833">
        <f>IF(OR(ISNUMBER(FIND("01",Criterios!A8,1)),ISNUMBER(FIND("02",Criterios!A8,1)),ISNUMBER(FIND("03",Criterios!A8,1)),ISNUMBER(FIND("04",Criterios!A8,1))),(J19-Y19+K19)/(F19-K19),(I19-Y19+K19)/(F19-K19))</f>
        <v>-0.5879446640316206</v>
      </c>
      <c r="AR19" s="833">
        <f>IF(ISNUMBER((Datos!P19-Datos!Q19+O19)/(Datos!R19-Datos!P19+Datos!Q19-O19)),(Datos!P19-Datos!Q19+O19)/(Datos!R19-Datos!P19+Datos!Q19-O19)," - ")</f>
        <v>-1.088139281828074E-3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564.64856326745405</v>
      </c>
      <c r="G21" s="551">
        <f>IF(ISNUMBER(STDEV(G8:G18)),STDEV(G8:G18),"-")</f>
        <v>546.65418684941949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36.181026335175552</v>
      </c>
      <c r="AK21" s="251"/>
      <c r="AL21" s="251">
        <f>IF(ISNUMBER(STDEV(AL8:AL18)),STDEV(AL8:AL18),"-")</f>
        <v>0</v>
      </c>
      <c r="AM21" s="253">
        <f>IF(ISNUMBER(STDEV(AM8:AM18)),STDEV(AM8:AM18),"-")</f>
        <v>0</v>
      </c>
      <c r="AN21" s="538">
        <f>IF(ISNUMBER(STDEV(AN8:AN18)),STDEV(AN8:AN18),"-")</f>
        <v>0</v>
      </c>
      <c r="AO21" s="539">
        <f>IF(ISNUMBER(STDEV(AO8:AO18)),STDEV(AO8:AO18),"-")</f>
        <v>2.7934287388798604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wDfQM9iCt+cmBMNb8pNvyDzJMo9QLf0t43pxqkCpO+LXaggLq+L5V5Rja9TjBcDNDqHki1G7rWufa/4YC2tnA==" saltValue="pc3ab7tezVQEhV6ch0bd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wlyR2ialGL+OHWzs00gpSvGDge8LMuXJSKAfycWcn+iJyBdvU/Jm/6a4ZdNq4XS3IXsb6SlYhE8f9eT0iYRCg==" saltValue="r0xZ6YhRSx+gYkNEqRkQ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mxzjdOqFrt2ChlljRSJVIb8PwR+IPgA2VpdTVY3+BV79S9r01vaplRuQuBTsvS572U1XomTY8181AFQs8QCg==" saltValue="b+pwYh78kGT+FoNPpHx+1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BAZA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0.19037199124726478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0.134613325958927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enK4J8k5fDCTMG0sDaHFWDiSJfnHU6XLq1OZQIdo8EfNKbgwuSHCqMaBpDVU3fmWgpTEtqIyyX7IjzEf4Vzd2Q==" saltValue="DjLjfcb8EKU1/N3X2LG1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SRaLZbdSSrau2FupgZLKxI+i/MkNq5qDMxKaMvFRRepMQfXHh4rnAUWF80UlqfR1sXGL4B2xE/sF7MJmBxbxw==" saltValue="N85uQ3F+6NQ/PrJuoDRC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BAZA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17</v>
      </c>
      <c r="D10" s="403">
        <f>IF(ISNUMBER(C10/Datos!BH10),C10/Datos!BH10," - ")</f>
        <v>17</v>
      </c>
      <c r="E10" s="402">
        <f>IF(ISNUMBER(Datos!J10),Datos!J10," - ")</f>
        <v>5</v>
      </c>
      <c r="F10" s="403">
        <f>IF(ISNUMBER(E10/B10),E10/B10," - ")</f>
        <v>5</v>
      </c>
      <c r="G10" s="402">
        <f>IF(ISNUMBER(Datos!K10),Datos!K10," - ")</f>
        <v>7</v>
      </c>
      <c r="H10" s="403">
        <f>IF(ISNUMBER(G10/B10),G10/B10," - ")</f>
        <v>7</v>
      </c>
      <c r="I10" s="402">
        <f>IF(ISNUMBER(Datos!L10),Datos!L10," - ")</f>
        <v>15</v>
      </c>
      <c r="J10" s="403">
        <f>IF(ISNUMBER(I10/B10),I10/B10," - ")</f>
        <v>15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1573</v>
      </c>
      <c r="D12" s="403">
        <f>IF(ISNUMBER(C12/Datos!BH12),C12/Datos!BH12," - ")</f>
        <v>786.5</v>
      </c>
      <c r="E12" s="402">
        <f>IF(ISNUMBER(IF(J_V="SI",Datos!J12,Datos!J12+Datos!Z12)),IF(J_V="SI",Datos!J12,Datos!J12+Datos!Z12)," - ")</f>
        <v>308</v>
      </c>
      <c r="F12" s="403">
        <f>IF(ISNUMBER(E12/B12),E12/B12," - ")</f>
        <v>154</v>
      </c>
      <c r="G12" s="402">
        <f>IF(ISNUMBER(IF(J_V="SI",Datos!K12,Datos!K12+Datos!AA12)),IF(J_V="SI",Datos!K12,Datos!K12+Datos!AA12)," - ")</f>
        <v>450</v>
      </c>
      <c r="H12" s="403">
        <f>IF(ISNUMBER(G12/B12),G12/B12," - ")</f>
        <v>225</v>
      </c>
      <c r="I12" s="402">
        <f>IF(ISNUMBER(IF(J_V="SI",Datos!L12,Datos!L12+Datos!AB12)),IF(J_V="SI",Datos!L12,Datos!L12+Datos!AB12)," - ")</f>
        <v>1431</v>
      </c>
      <c r="J12" s="403">
        <f>IF(ISNUMBER(I12/B12),I12/B12," - ")</f>
        <v>715.5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1590</v>
      </c>
      <c r="D13" s="849" t="str">
        <f>IF(ISNUMBER(C13/Datos!BI13),C13/Datos!BI13," - ")</f>
        <v xml:space="preserve"> - </v>
      </c>
      <c r="E13" s="848">
        <f>SUBTOTAL(9,E8:E12)</f>
        <v>313</v>
      </c>
      <c r="F13" s="849">
        <f>IF(ISNUMBER(E13/B13),E13/B13," - ")</f>
        <v>156.5</v>
      </c>
      <c r="G13" s="848">
        <f>SUBTOTAL(9,G8:G12)</f>
        <v>457</v>
      </c>
      <c r="H13" s="849">
        <f>IF(ISNUMBER(G13/B13),G13/B13," - ")</f>
        <v>228.5</v>
      </c>
      <c r="I13" s="848">
        <f>SUBTOTAL(9,I8:I12)</f>
        <v>1446</v>
      </c>
      <c r="J13" s="849">
        <f>IF(ISNUMBER(I13/B13),I13/B13," - ")</f>
        <v>723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995</v>
      </c>
      <c r="D16" s="403">
        <f>IF(ISNUMBER(C16/Datos!BH16),C16/Datos!BH16," - ")</f>
        <v>497.5</v>
      </c>
      <c r="E16" s="402">
        <f>IF(ISNUMBER(IF(D_I="SI",Datos!J16,Datos!J16+Datos!AD16)),IF(D_I="SI",Datos!J16,Datos!J16+Datos!AD16)," - ")</f>
        <v>714</v>
      </c>
      <c r="F16" s="403">
        <f>IF(ISNUMBER(E16/B16),E16/B16," - ")</f>
        <v>357</v>
      </c>
      <c r="G16" s="402">
        <f>IF(ISNUMBER(IF(D_I="SI",Datos!K16,Datos!K16+Datos!AE16)),IF(D_I="SI",Datos!K16,Datos!K16+Datos!AE16)," - ")</f>
        <v>499</v>
      </c>
      <c r="H16" s="403">
        <f>IF(ISNUMBER(G16/B16),G16/B16," - ")</f>
        <v>249.5</v>
      </c>
      <c r="I16" s="402">
        <f>IF(ISNUMBER(IF(D_I="SI",Datos!L16,Datos!L16+Datos!AF16)),IF(D_I="SI",Datos!L16,Datos!L16+Datos!AF16)," - ")</f>
        <v>1210</v>
      </c>
      <c r="J16" s="403">
        <f>IF(ISNUMBER(I16/B16),I16/B16," - ")</f>
        <v>605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74</v>
      </c>
      <c r="D17" s="403">
        <f>IF(ISNUMBER(C17/Datos!BH17),C17/Datos!BH17," - ")</f>
        <v>74</v>
      </c>
      <c r="E17" s="402">
        <f>IF(ISNUMBER(IF(D_I="SI",Datos!J17,Datos!J17+Datos!AD17)),IF(D_I="SI",Datos!J17,Datos!J17+Datos!AD17)," - ")</f>
        <v>72</v>
      </c>
      <c r="F17" s="403">
        <f>IF(ISNUMBER(E17/B17),E17/B17," - ")</f>
        <v>72</v>
      </c>
      <c r="G17" s="402">
        <f>IF(ISNUMBER(IF(D_I="SI",Datos!K17,Datos!K17+Datos!AE17)),IF(D_I="SI",Datos!K17,Datos!K17+Datos!AE17)," - ")</f>
        <v>89</v>
      </c>
      <c r="H17" s="403">
        <f>IF(ISNUMBER(G17/B17),G17/B17," - ")</f>
        <v>89</v>
      </c>
      <c r="I17" s="402">
        <f>IF(ISNUMBER(IF(D_I="SI",Datos!L17,Datos!L17+Datos!AF17)),IF(D_I="SI",Datos!L17,Datos!L17+Datos!AF17)," - ")</f>
        <v>57</v>
      </c>
      <c r="J17" s="403">
        <f>IF(ISNUMBER(I17/B17),I17/B17," - ")</f>
        <v>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1069</v>
      </c>
      <c r="D18" s="849" t="str">
        <f>IF(ISNUMBER(C18/Datos!BI18),C18/Datos!BI18," - ")</f>
        <v xml:space="preserve"> - </v>
      </c>
      <c r="E18" s="848">
        <f>SUBTOTAL(9,E14:E17)</f>
        <v>786</v>
      </c>
      <c r="F18" s="849">
        <f>IF(ISNUMBER(E18/B18),E18/B18," - ")</f>
        <v>393</v>
      </c>
      <c r="G18" s="848">
        <f>SUBTOTAL(9,G14:G17)</f>
        <v>588</v>
      </c>
      <c r="H18" s="849">
        <f>IF(ISNUMBER(G18/B18),G18/B18," - ")</f>
        <v>294</v>
      </c>
      <c r="I18" s="848">
        <f>SUBTOTAL(9,I14:I17)</f>
        <v>1267</v>
      </c>
      <c r="J18" s="849">
        <f>IF(ISNUMBER(I18/B18),I18/B18," - ")</f>
        <v>633.5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2659</v>
      </c>
      <c r="D19" s="794" t="str">
        <f>IF(ISNUMBER(C19/Datos!BI19),C19/Datos!BI19," - ")</f>
        <v xml:space="preserve"> - </v>
      </c>
      <c r="E19" s="793">
        <f>SUBTOTAL(9,E9:E18)</f>
        <v>1099</v>
      </c>
      <c r="F19" s="794">
        <f>IF(ISNUMBER(E19/B19),E19/B19," - ")</f>
        <v>549.5</v>
      </c>
      <c r="G19" s="793">
        <f>SUBTOTAL(9,G9:G18)</f>
        <v>1045</v>
      </c>
      <c r="H19" s="794">
        <f>IF(ISNUMBER(G19/B19),G19/B19," - ")</f>
        <v>522.5</v>
      </c>
      <c r="I19" s="793">
        <f>SUBTOTAL(9,I9:I18)</f>
        <v>2713</v>
      </c>
      <c r="J19" s="794">
        <f>IF(ISNUMBER(I19/B19),I19/B19," - ")</f>
        <v>1356.5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723QSusTDqBa2t+rGfewIBFOvDwieWS2AozEWU3lB5AknPlMWubVyZ76rUSWInRjoxHi1a22lU6ND5CjxWJ1XA==" saltValue="KB98Nk4r7zIwdfe8bF4M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BAZA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17</v>
      </c>
      <c r="G10" s="683">
        <f>IF(ISNUMBER(Datos!I10),Datos!I10," - ")</f>
        <v>17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7</v>
      </c>
      <c r="AC10" s="682" t="str">
        <f>IF(ISNUMBER(IF(D_I="SI",DatosP!K17,DatosP!K17+DatosP!AE17)),IF(D_I="SI",DatosP!K17,DatosP!K17+DatosP!AE17)," - ")</f>
        <v xml:space="preserve"> - </v>
      </c>
      <c r="AD10" s="684"/>
      <c r="AE10" s="684"/>
      <c r="AF10" s="687">
        <f>IF(ISNUMBER(Datos!L10),Datos!L10,"-")</f>
        <v>15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6.4285714285714279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1756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84</v>
      </c>
      <c r="AM12" s="689">
        <f>IF(ISNUMBER(Datos!N12+DatosP!N16),Datos!N12+DatosP!N16," - ")</f>
        <v>256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9.5400000000000009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-3.9705048213272828E-3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17</v>
      </c>
      <c r="G13" s="937">
        <f t="shared" si="0"/>
        <v>17</v>
      </c>
      <c r="H13" s="937">
        <f t="shared" si="0"/>
        <v>0</v>
      </c>
      <c r="I13" s="939">
        <f t="shared" si="0"/>
        <v>0</v>
      </c>
      <c r="J13" s="938">
        <f t="shared" si="0"/>
        <v>0</v>
      </c>
      <c r="K13" s="938">
        <f t="shared" si="0"/>
        <v>0</v>
      </c>
      <c r="L13" s="940">
        <f t="shared" si="0"/>
        <v>0</v>
      </c>
      <c r="M13" s="940">
        <f t="shared" si="0"/>
        <v>0</v>
      </c>
      <c r="N13" s="938">
        <f t="shared" si="0"/>
        <v>35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7</v>
      </c>
      <c r="AC13" s="938">
        <f t="shared" si="1"/>
        <v>0</v>
      </c>
      <c r="AD13" s="938">
        <f t="shared" si="1"/>
        <v>42</v>
      </c>
      <c r="AE13" s="938">
        <f t="shared" si="1"/>
        <v>0</v>
      </c>
      <c r="AF13" s="938">
        <f t="shared" si="1"/>
        <v>15</v>
      </c>
      <c r="AG13" s="938">
        <f t="shared" si="1"/>
        <v>0</v>
      </c>
      <c r="AH13" s="938">
        <f t="shared" si="1"/>
        <v>1756</v>
      </c>
      <c r="AI13" s="938">
        <f t="shared" si="1"/>
        <v>0</v>
      </c>
      <c r="AJ13" s="938">
        <f t="shared" si="1"/>
        <v>0</v>
      </c>
      <c r="AK13" s="938">
        <f t="shared" si="1"/>
        <v>0</v>
      </c>
      <c r="AL13" s="938">
        <f t="shared" si="1"/>
        <v>87</v>
      </c>
      <c r="AM13" s="938">
        <f t="shared" si="1"/>
        <v>257</v>
      </c>
      <c r="AN13" s="938">
        <f t="shared" si="1"/>
        <v>0</v>
      </c>
      <c r="AO13" s="938">
        <f t="shared" si="1"/>
        <v>0</v>
      </c>
      <c r="AP13" s="943">
        <f>IF(ISNUMBER(((Datos!L13/Datos!K13)*11)/factor_trimestre),((Datos!L13/Datos!K13)*11)/factor_trimestre," - ")</f>
        <v>10.017326732673268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-0.41176470588235292</v>
      </c>
      <c r="AU13" s="938" t="str">
        <f>IF(ISNUMBER((DatosP!#REF!-DatosP!#REF!+DatosP!#REF!)/(DatosP!#REF!+DatosP!#REF!-DatosP!#REF!-DatosP!#REF!)),(DatosP!#REF!-DatosP!#REF!+DatosP!#REF!)/(DatosP!#REF!+DatosP!#REF!-DatosP!#REF!-DatosP!#REF!)," - ")</f>
        <v xml:space="preserve"> - </v>
      </c>
      <c r="AV13" s="944">
        <f>SUBTOTAL(9,AV9:AV12)</f>
        <v>-3.9705048213272828E-3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6.4642857142857144</v>
      </c>
      <c r="AQ18" s="943">
        <f>IF(ISNUMBER(((Datos!M18/Datos!L18)*11)/factor_trimestre),((Datos!M18/Datos!L18)*11)/factor_trimestre," - ")</f>
        <v>0.1515390686661405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7.575757575757576E-2</v>
      </c>
      <c r="AW18" s="945">
        <f>IF(ISNUMBER((Datos!Q18-Datos!R18)/(Datos!S18-Datos!Q18+Datos!R18)),(Datos!Q18-Datos!R18)/(Datos!S18-Datos!Q18+Datos!R18)," - ")</f>
        <v>-8.1784386617100371E-2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17</v>
      </c>
      <c r="G19" s="950">
        <f t="shared" si="4"/>
        <v>17</v>
      </c>
      <c r="H19" s="950">
        <f t="shared" si="4"/>
        <v>0</v>
      </c>
      <c r="I19" s="951">
        <f t="shared" si="4"/>
        <v>0</v>
      </c>
      <c r="J19" s="952">
        <f t="shared" si="4"/>
        <v>0</v>
      </c>
      <c r="K19" s="952">
        <f t="shared" si="4"/>
        <v>0</v>
      </c>
      <c r="L19" s="952">
        <f t="shared" si="4"/>
        <v>0</v>
      </c>
      <c r="M19" s="952">
        <f t="shared" si="4"/>
        <v>0</v>
      </c>
      <c r="N19" s="951">
        <f t="shared" si="4"/>
        <v>35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7</v>
      </c>
      <c r="AC19" s="956">
        <f t="shared" si="5"/>
        <v>0</v>
      </c>
      <c r="AD19" s="956">
        <f t="shared" si="5"/>
        <v>42</v>
      </c>
      <c r="AE19" s="956">
        <f t="shared" si="5"/>
        <v>0</v>
      </c>
      <c r="AF19" s="957">
        <f t="shared" si="5"/>
        <v>15</v>
      </c>
      <c r="AG19" s="957">
        <f t="shared" si="5"/>
        <v>0</v>
      </c>
      <c r="AH19" s="957">
        <f t="shared" si="5"/>
        <v>1756</v>
      </c>
      <c r="AI19" s="957">
        <f t="shared" si="5"/>
        <v>0</v>
      </c>
      <c r="AJ19" s="958">
        <f t="shared" si="5"/>
        <v>0</v>
      </c>
      <c r="AK19" s="958">
        <f t="shared" si="5"/>
        <v>0</v>
      </c>
      <c r="AL19" s="950">
        <f t="shared" si="5"/>
        <v>87</v>
      </c>
      <c r="AM19" s="950">
        <f t="shared" si="5"/>
        <v>257</v>
      </c>
      <c r="AN19" s="950">
        <f t="shared" si="5"/>
        <v>0</v>
      </c>
      <c r="AO19" s="950">
        <f t="shared" si="5"/>
        <v>0</v>
      </c>
      <c r="AP19" s="950">
        <f>IF(ISNUMBER(((Datos!L19/Datos!K19)*11)/factor_trimestre),((Datos!L19/Datos!K19)*11)/factor_trimestre," - ")</f>
        <v>7.911290322580645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-0.41176470588235292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-1.088139281828074E-3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9.8149545762236379</v>
      </c>
      <c r="G21" s="736">
        <f>IF(ISNUMBER(STDEV(G8:G18)),STDEV(G8:G18),"-")</f>
        <v>9.8149545762236379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4.0414518843273806</v>
      </c>
      <c r="AC21" s="737">
        <f>IF(ISNUMBER(STDEV(AC8:AC18)),STDEV(AC8:AC18),"-")</f>
        <v>0</v>
      </c>
      <c r="AD21" s="740"/>
      <c r="AE21" s="740"/>
      <c r="AF21" s="740"/>
      <c r="AG21" s="740"/>
      <c r="AH21" s="740"/>
      <c r="AI21" s="740"/>
      <c r="AJ21" s="741">
        <f>IF(ISNUMBER(STDEV(AJ8:AJ18)),STDEV(AJ8:AJ18),"-")</f>
        <v>0</v>
      </c>
      <c r="AK21" s="743"/>
      <c r="AL21" s="735">
        <f>IF(ISNUMBER(STDEV(AL8:AL18)),STDEV(AL8:AL18),"-")</f>
        <v>48.528342234203713</v>
      </c>
      <c r="AM21" s="735"/>
      <c r="AN21" s="735">
        <f>IF(ISNUMBER(STDEV(AN8:AN18)),STDEV(AN8:AN18),"-")</f>
        <v>0</v>
      </c>
      <c r="AO21" s="741">
        <f>IF(ISNUMBER(STDEV(AO8:AO18)),STDEV(AO8:AO18),"-")</f>
        <v>0</v>
      </c>
      <c r="AP21" s="778">
        <f>IF(ISNUMBER(STDEV(AP8:AP18)),STDEV(AP8:AP18),"-")</f>
        <v>1.93376548805349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6fW8UguejTV5MRVREjkoklryGE+XkwVPuzWaIn2EomCXSFPFciAYmT+Q7msK9tpVjLQwN/vhvM8lJGW4mX5OA==" saltValue="6dV08HKH28cYw/dkOi1J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BAZA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BwqZsHyV6uI1xUZQjmBhyjZyPGx63pitMpSkPLc39c8/+kEGmFF1EZ8Six9yBtt7XF5hU2i7Kh9shfGBoXOVg==" saltValue="GuEhmCUdkGZ012ZY4QYx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BAZA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84</v>
      </c>
      <c r="E12" s="403">
        <f t="shared" si="0"/>
        <v>42</v>
      </c>
      <c r="F12" s="402">
        <f>IF(ISNUMBER(Datos!N12),Datos!N12," - ")</f>
        <v>256</v>
      </c>
      <c r="G12" s="403">
        <f t="shared" si="1"/>
        <v>128</v>
      </c>
      <c r="H12" s="402">
        <f>IF(ISNUMBER(Datos!O12),Datos!O12," - ")</f>
        <v>154</v>
      </c>
      <c r="I12" s="403">
        <f t="shared" si="2"/>
        <v>77</v>
      </c>
      <c r="BZ12" s="1185">
        <f>Datos!EZ12</f>
        <v>0</v>
      </c>
    </row>
    <row r="13" spans="1:78" ht="14.25" thickTop="1" thickBot="1">
      <c r="A13" s="847" t="str">
        <f>Datos!A13</f>
        <v>TOTAL</v>
      </c>
      <c r="B13" s="848">
        <f>Datos!AP13</f>
        <v>2</v>
      </c>
      <c r="C13" s="850">
        <f>Datos!AR13</f>
        <v>2</v>
      </c>
      <c r="D13" s="848">
        <f>SUBTOTAL(9,D9:D12)</f>
        <v>87</v>
      </c>
      <c r="E13" s="849">
        <f t="shared" si="0"/>
        <v>43.5</v>
      </c>
      <c r="F13" s="848">
        <f>SUBTOTAL(9,F9:F12)</f>
        <v>257</v>
      </c>
      <c r="G13" s="849">
        <f t="shared" si="1"/>
        <v>128.5</v>
      </c>
      <c r="H13" s="848">
        <f>SUBTOTAL(9,H9:H12)</f>
        <v>156</v>
      </c>
      <c r="I13" s="849">
        <f>IF(ISNUMBER(H13/B13),H13/B13," - ")</f>
        <v>78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54</v>
      </c>
      <c r="E16" s="403">
        <f t="shared" si="3"/>
        <v>27</v>
      </c>
      <c r="F16" s="402">
        <f>IF(ISNUMBER(Datos!N16),Datos!N16," - ")</f>
        <v>359</v>
      </c>
      <c r="G16" s="403">
        <f t="shared" si="4"/>
        <v>179.5</v>
      </c>
      <c r="H16" s="402">
        <f>IF(ISNUMBER(Datos!O16),Datos!O16," - ")</f>
        <v>5</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51</v>
      </c>
      <c r="G17" s="403">
        <f>IF(ISNUMBER(F17/B17),F17/B17," - ")</f>
        <v>51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64</v>
      </c>
      <c r="E18" s="849">
        <f t="shared" si="3"/>
        <v>32</v>
      </c>
      <c r="F18" s="848">
        <f>SUBTOTAL(9,F15:F17)</f>
        <v>410</v>
      </c>
      <c r="G18" s="849">
        <f t="shared" si="4"/>
        <v>205</v>
      </c>
      <c r="H18" s="848">
        <f>SUBTOTAL(9,H15:H17)</f>
        <v>5</v>
      </c>
      <c r="I18" s="849">
        <f>IF(ISNUMBER(H18/B18),H18/B18," - ")</f>
        <v>2.5</v>
      </c>
      <c r="BZ18" s="1185"/>
    </row>
    <row r="19" spans="1:78" ht="14.25" thickTop="1" thickBot="1">
      <c r="A19" s="792" t="str">
        <f>Datos!A19</f>
        <v>TOTAL JURISDICCIONES</v>
      </c>
      <c r="B19" s="793">
        <f>Datos!AP19</f>
        <v>2</v>
      </c>
      <c r="C19" s="793">
        <f>Datos!AR19</f>
        <v>2</v>
      </c>
      <c r="D19" s="793">
        <f>SUBTOTAL(9,D8:D18)</f>
        <v>151</v>
      </c>
      <c r="E19" s="794">
        <f>IF(ISNUMBER(D19/B19),D19/B19," - ")</f>
        <v>75.5</v>
      </c>
      <c r="F19" s="793">
        <f>SUBTOTAL(9,F8:F18)</f>
        <v>667</v>
      </c>
      <c r="G19" s="794">
        <f>IF(ISNUMBER(F19/B19),F19/B19," - ")</f>
        <v>333.5</v>
      </c>
      <c r="H19" s="793">
        <f>SUBTOTAL(9,H8:H18)</f>
        <v>161</v>
      </c>
      <c r="I19" s="794">
        <f>IF(ISNUMBER(H19/B19),H19/B19," - ")</f>
        <v>80.5</v>
      </c>
    </row>
    <row r="22" spans="1:78">
      <c r="A22" s="390" t="str">
        <f>Criterios!A4</f>
        <v>Fecha Informe: 17 mar. 2026</v>
      </c>
    </row>
    <row r="27" spans="1:78">
      <c r="A27" s="413"/>
    </row>
  </sheetData>
  <sheetProtection algorithmName="SHA-512" hashValue="/DOanLkfibEwfVycfWMr4XzLAp19EVYg7WCd+9oKPWR9fx6EUF5W0I0Mo6cwS2Dqh7lAdXC3y3+RQitax0Zmeg==" saltValue="JZvUS3gWFeHCGpxT83vi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BAZA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v>
      </c>
      <c r="C12" s="433">
        <f>IF(ISNUMBER(Datos!Q12),Datos!Q12," - ")</f>
        <v>42</v>
      </c>
      <c r="D12" s="407">
        <f>IF(ISNUMBER(Datos!R12),Datos!R12," - ")</f>
        <v>1756</v>
      </c>
    </row>
    <row r="13" spans="1:4" ht="14.25" thickTop="1" thickBot="1">
      <c r="A13" s="847" t="str">
        <f>Datos!A13</f>
        <v>TOTAL</v>
      </c>
      <c r="B13" s="848">
        <f>SUBTOTAL(9,B9:B12)</f>
        <v>35</v>
      </c>
      <c r="C13" s="852">
        <f>SUBTOTAL(9,C9:C12)</f>
        <v>42</v>
      </c>
      <c r="D13" s="850">
        <f>SUBTOTAL(9,D9:D12)</f>
        <v>1765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5</v>
      </c>
      <c r="D16" s="407">
        <f>IF(ISNUMBER(Datos!R16),Datos!R16," - ")</f>
        <v>71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5</v>
      </c>
      <c r="D18" s="850">
        <f>SUBTOTAL(9,D15:D17)</f>
        <v>71</v>
      </c>
    </row>
    <row r="19" spans="1:4" ht="16.5" customHeight="1" thickTop="1" thickBot="1">
      <c r="A19" s="792" t="str">
        <f>Datos!A19</f>
        <v>TOTAL JURISDICCIONES</v>
      </c>
      <c r="B19" s="797">
        <f>SUBTOTAL(9,B8:B18)</f>
        <v>45</v>
      </c>
      <c r="C19" s="798">
        <f>SUBTOTAL(9,C8:C18)</f>
        <v>47</v>
      </c>
      <c r="D19" s="799">
        <f>SUBTOTAL(9,D8:D18)</f>
        <v>1836</v>
      </c>
    </row>
    <row r="20" spans="1:4" ht="7.5" customHeight="1"/>
    <row r="21" spans="1:4" ht="6" customHeight="1"/>
    <row r="22" spans="1:4">
      <c r="A22" s="390" t="str">
        <f>Criterios!A4</f>
        <v>Fecha Informe: 17 mar. 2026</v>
      </c>
    </row>
    <row r="27" spans="1:4">
      <c r="A27" s="413"/>
    </row>
  </sheetData>
  <sheetProtection algorithmName="SHA-512" hashValue="w3+Mg0wa7JIckdYj3zffiyat3cnyTb+v0Kk9UxCsjJIhoCAAXXhr7mnoLf9YaClq6o9lUfofciDUwSp89+/0NA==" saltValue="QyhfAi2Egrqlgu4eyYM4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BAZA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-0.46875</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-0.53125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0.34215017064846415</v>
      </c>
      <c r="C12" s="455">
        <f>IF(ISNUMBER(
   IF(J_V="SI",(Datos!J12-Datos!T12)/Datos!T12,(Datos!J12+Datos!Z12-(Datos!T12+Datos!AH12))/(Datos!T12+Datos!AH12))
     ),IF(J_V="SI",(Datos!J12-Datos!T12)/Datos!T12,(Datos!J12+Datos!Z12-(Datos!T12+Datos!AH12))/(Datos!T12+Datos!AH12))," - ")</f>
        <v>-0.3649484536082474</v>
      </c>
      <c r="D12" s="455">
        <f>IF(ISNUMBER(
   IF(J_V="SI",(Datos!K12-Datos!U12)/Datos!U12,(Datos!K12+Datos!AA12-(Datos!U12+Datos!AI12))/(Datos!U12+Datos!AI12))
     ),IF(J_V="SI",(Datos!K12-Datos!U12)/Datos!U12,(Datos!K12+Datos!AA12-(Datos!U12+Datos!AI12))/(Datos!U12+Datos!AI12))," - ")</f>
        <v>0.58450704225352113</v>
      </c>
      <c r="E12" s="455">
        <f>IF(ISNUMBER(
   IF(J_V="SI",(Datos!L12-Datos!V12)/Datos!V12,(Datos!L12+Datos!AB12-(Datos!V12+Datos!AJ12))/(Datos!V12+Datos!AJ12))
     ),IF(J_V="SI",(Datos!L12-Datos!V12)/Datos!V12,(Datos!L12+Datos!AB12-(Datos!V12+Datos!AJ12))/(Datos!V12+Datos!AJ12))," - ")</f>
        <v>4.2243262927895119E-2</v>
      </c>
      <c r="F12" s="455">
        <f>IF(ISNUMBER((Datos!M12-Datos!W12)/Datos!W12),(Datos!M12-Datos!W12)/Datos!W12," - ")</f>
        <v>0.10526315789473684</v>
      </c>
      <c r="G12" s="456">
        <f>IF(ISNUMBER((Datos!N12-Datos!X12)/Datos!X12),(Datos!N12-Datos!X12)/Datos!X12," - ")</f>
        <v>1.115702479338843</v>
      </c>
      <c r="H12" s="454">
        <f>IF(ISNUMBER(((NºAsuntos!G12/NºAsuntos!E12)-Datos!BD12)/Datos!BD12),((NºAsuntos!G12/NºAsuntos!E12)-Datos!BD12)/Datos!BD12," - ")</f>
        <v>1.4950841412109017</v>
      </c>
      <c r="I12" s="455">
        <f>IF(ISNUMBER(((NºAsuntos!I12/NºAsuntos!G12)-Datos!BE12)/Datos!BE12),((NºAsuntos!I12/NºAsuntos!G12)-Datos!BE12)/Datos!BE12," - ")</f>
        <v>-0.34222869628550612</v>
      </c>
      <c r="J12" s="460">
        <f>IF(ISNUMBER((('Resol  Asuntos'!D12/NºAsuntos!G12)-Datos!BF12)/Datos!BF12),(('Resol  Asuntos'!D12/NºAsuntos!G12)-Datos!BF12)/Datos!BF12," - ")</f>
        <v>-0.56187327823691458</v>
      </c>
      <c r="K12" s="461">
        <f>IF(ISNUMBER((((NºAsuntos!C12+NºAsuntos!E12)/NºAsuntos!G12)-Datos!BG12)/Datos!BG12),(((NºAsuntos!C12+NºAsuntos!E12)/NºAsuntos!G12)-Datos!BG12)/Datos!BG12," - ")</f>
        <v>-0.28357272178636095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0.32059800664451826</v>
      </c>
      <c r="C13" s="854">
        <f>IF(ISNUMBER(
   IF(J_V="SI",(Datos!J13-Datos!T13)/Datos!T13,(Datos!J13+Datos!Z13-(Datos!T13+Datos!AH13))/(Datos!T13+Datos!AH13))
     ),IF(J_V="SI",(Datos!J13-Datos!T13)/Datos!T13,(Datos!J13+Datos!Z13-(Datos!T13+Datos!AH13))/(Datos!T13+Datos!AH13))," - ")</f>
        <v>-0.35463917525773198</v>
      </c>
      <c r="D13" s="854">
        <f>IF(ISNUMBER(
   IF(J_V="SI",(Datos!K13-Datos!U13)/Datos!U13,(Datos!K13+Datos!AA13-(Datos!U13+Datos!AI13))/(Datos!U13+Datos!AI13))
     ),IF(J_V="SI",(Datos!K13-Datos!U13)/Datos!U13,(Datos!K13+Datos!AA13-(Datos!U13+Datos!AI13))/(Datos!U13+Datos!AI13))," - ")</f>
        <v>0.60915492957746475</v>
      </c>
      <c r="E13" s="854">
        <f>IF(ISNUMBER(
   IF(J_V="SI",(Datos!L13-Datos!V13)/Datos!V13,(Datos!L13+Datos!AB13-(Datos!V13+Datos!AJ13))/(Datos!V13+Datos!AJ13))
     ),IF(J_V="SI",(Datos!L13-Datos!V13)/Datos!V13,(Datos!L13+Datos!AB13-(Datos!V13+Datos!AJ13))/(Datos!V13+Datos!AJ13))," - ")</f>
        <v>2.9181494661921707E-2</v>
      </c>
      <c r="F13" s="855">
        <f>IF(ISNUMBER((Datos!M13-Datos!W13)/Datos!W13),(Datos!M13-Datos!W13)/Datos!W13," - ")</f>
        <v>0.14473684210526316</v>
      </c>
      <c r="G13" s="856">
        <f>IF(ISNUMBER((Datos!N13-Datos!X13)/Datos!X13),(Datos!N13-Datos!X13)/Datos!X13," - ")</f>
        <v>1.1239669421487604</v>
      </c>
      <c r="H13" s="856">
        <f>IF(ISNUMBER(((NºAsuntos!G13/NºAsuntos!E13)-Datos!BD13)/Datos!BD13),((NºAsuntos!G13/NºAsuntos!E13)-Datos!BD13)/Datos!BD13," - ")</f>
        <v>1.4934189803356881</v>
      </c>
      <c r="I13" s="856">
        <f>IF(ISNUMBER(((NºAsuntos!I13/NºAsuntos!G13)-Datos!BE13)/Datos!BE13),((NºAsuntos!I13/NºAsuntos!G13)-Datos!BE13)/Datos!BE13," - ")</f>
        <v>-0.36042112804379478</v>
      </c>
      <c r="J13" s="856">
        <f>IF(ISNUMBER((('Resol  Asuntos'!D13/NºAsuntos!G13)-Datos!BF13)/Datos!BF13),(('Resol  Asuntos'!D13/NºAsuntos!G13)-Datos!BF13)/Datos!BF13," - ")</f>
        <v>-0.55317648335352732</v>
      </c>
      <c r="K13" s="856">
        <f>IF(ISNUMBER((((NºAsuntos!C13+NºAsuntos!E13)/NºAsuntos!G13)-Datos!BG13)/Datos!BG13),(((NºAsuntos!C13+NºAsuntos!E13)/NºAsuntos!G13)-Datos!BG13)/Datos!BG13," - ")</f>
        <v>-0.29981745701689261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0.47189349112426038</v>
      </c>
      <c r="C16" s="455">
        <f>IF(ISNUMBER(
   IF(D_I="SI",(Datos!J16-Datos!T16)/Datos!T16,(Datos!J16+Datos!AD16-(Datos!T16+Datos!AL16))/(Datos!T16+Datos!AL16))
     ),IF(D_I="SI",(Datos!J16-Datos!T16)/Datos!T16,(Datos!J16+Datos!AD16-(Datos!T16+Datos!AL16))/(Datos!T16+Datos!AL16))," - ")</f>
        <v>0.16666666666666666</v>
      </c>
      <c r="D16" s="455">
        <f>IF(ISNUMBER(
   IF(D_I="SI",(Datos!K16-Datos!U16)/Datos!U16,(Datos!K16+Datos!AE16-(Datos!U16+Datos!AM16))/(Datos!U16+Datos!AM16))
     ),IF(D_I="SI",(Datos!K16-Datos!U16)/Datos!U16,(Datos!K16+Datos!AE16-(Datos!U16+Datos!AM16))/(Datos!U16+Datos!AM16))," - ")</f>
        <v>-6.5543071161048683E-2</v>
      </c>
      <c r="E16" s="455">
        <f>IF(ISNUMBER(
   IF(D_I="SI",(Datos!L16-Datos!V16)/Datos!V16,(Datos!L16+Datos!AF16-(Datos!V16+Datos!AN16))/(Datos!V16+Datos!AN16))
     ),IF(D_I="SI",(Datos!L16-Datos!V16)/Datos!V16,(Datos!L16+Datos!AF16-(Datos!V16+Datos!AN16))/(Datos!V16+Datos!AN16))," - ")</f>
        <v>0.60477453580901852</v>
      </c>
      <c r="F16" s="455">
        <f>IF(ISNUMBER((Datos!M16-Datos!W16)/Datos!W16),(Datos!M16-Datos!W16)/Datos!W16," - ")</f>
        <v>0.14893617021276595</v>
      </c>
      <c r="G16" s="456">
        <f>IF(ISNUMBER((Datos!N16-Datos!X16)/Datos!X16),(Datos!N16-Datos!X16)/Datos!X16," - ")</f>
        <v>-9.1139240506329114E-2</v>
      </c>
      <c r="H16" s="454">
        <f>IF(ISNUMBER(((NºAsuntos!G16/NºAsuntos!E16)-Datos!BD16)/Datos!BD16),((NºAsuntos!G16/NºAsuntos!E16)-Datos!BD16)/Datos!BD16," - ")</f>
        <v>-0.19903691813804178</v>
      </c>
      <c r="I16" s="455">
        <f>IF(ISNUMBER(((NºAsuntos!I16/NºAsuntos!G16)-Datos!BE16)/Datos!BE16),((NºAsuntos!I16/NºAsuntos!G16)-Datos!BE16)/Datos!BE16," - ")</f>
        <v>0.71733387198800791</v>
      </c>
      <c r="J16" s="460">
        <f>IF(ISNUMBER((('Resol  Asuntos'!D16/NºAsuntos!G16)-Datos!BF16)/Datos!BF16),(('Resol  Asuntos'!D16/NºAsuntos!G16)-Datos!BF16)/Datos!BF16," - ")</f>
        <v>0.22952287553831052</v>
      </c>
      <c r="K16" s="461">
        <f>IF(ISNUMBER((((NºAsuntos!C16+NºAsuntos!E16)/NºAsuntos!G16)-Datos!BG16)/Datos!BG16),(((NºAsuntos!C16+NºAsuntos!E16)/NºAsuntos!G16)-Datos!BG16)/Datos!BG16," - ")</f>
        <v>0.4199299219557126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0.13846153846153847</v>
      </c>
      <c r="C17" s="455">
        <f>IF(ISNUMBER(
   IF(D_I="SI",(Datos!J17-Datos!T17)/Datos!T17,(Datos!J17+Datos!AD17-(Datos!T17+Datos!AL17))/(Datos!T17+Datos!AL17))
     ),IF(D_I="SI",(Datos!J17-Datos!T17)/Datos!T17,(Datos!J17+Datos!AD17-(Datos!T17+Datos!AL17))/(Datos!T17+Datos!AL17))," - ")</f>
        <v>3.5</v>
      </c>
      <c r="D17" s="455">
        <f>IF(ISNUMBER(
   IF(D_I="SI",(Datos!K17-Datos!U17)/Datos!U17,(Datos!K17+Datos!AE17-(Datos!U17+Datos!AM17))/(Datos!U17+Datos!AM17))
     ),IF(D_I="SI",(Datos!K17-Datos!U17)/Datos!U17,(Datos!K17+Datos!AE17-(Datos!U17+Datos!AM17))/(Datos!U17+Datos!AM17))," - ")</f>
        <v>5.3571428571428568</v>
      </c>
      <c r="E17" s="455">
        <f>IF(ISNUMBER(
   IF(D_I="SI",(Datos!L17-Datos!V17)/Datos!V17,(Datos!L17+Datos!AF17-(Datos!V17+Datos!AN17))/(Datos!V17+Datos!AN17))
     ),IF(D_I="SI",(Datos!L17-Datos!V17)/Datos!V17,(Datos!L17+Datos!AF17-(Datos!V17+Datos!AN17))/(Datos!V17+Datos!AN17))," - ")</f>
        <v>-0.14925373134328357</v>
      </c>
      <c r="F17" s="455">
        <f>IF(ISNUMBER((Datos!M17-Datos!W17)/Datos!W17),(Datos!M17-Datos!W17)/Datos!W17," - ")</f>
        <v>0.66666666666666663</v>
      </c>
      <c r="G17" s="456">
        <f>IF(ISNUMBER((Datos!N17-Datos!X17)/Datos!X17),(Datos!N17-Datos!X17)/Datos!X17," - ")</f>
        <v>3.6363636363636362</v>
      </c>
      <c r="H17" s="454">
        <f>IF(ISNUMBER(((NºAsuntos!G17/NºAsuntos!E17)-Datos!BD17)/Datos!BD17),((NºAsuntos!G17/NºAsuntos!E17)-Datos!BD17)/Datos!BD17," - ")</f>
        <v>0.41269841269841273</v>
      </c>
      <c r="I17" s="455">
        <f>IF(ISNUMBER(((NºAsuntos!I17/NºAsuntos!G17)-Datos!BE17)/Datos!BE17),((NºAsuntos!I17/NºAsuntos!G17)-Datos!BE17)/Datos!BE17," - ")</f>
        <v>-0.86617474425624685</v>
      </c>
      <c r="J17" s="460">
        <f>IF(ISNUMBER((('Resol  Asuntos'!D17/NºAsuntos!G17)-Datos!BF17)/Datos!BF17),(('Resol  Asuntos'!D17/NºAsuntos!G17)-Datos!BF17)/Datos!BF17," - ")</f>
        <v>-0.73782771535580527</v>
      </c>
      <c r="K17" s="461">
        <f>IF(ISNUMBER((((NºAsuntos!C17+NºAsuntos!E17)/NºAsuntos!G17)-Datos!BG17)/Datos!BG17),(((NºAsuntos!C17+NºAsuntos!E17)/NºAsuntos!G17)-Datos!BG17)/Datos!BG17," - ")</f>
        <v>-0.71646552919961159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0.44264507422402161</v>
      </c>
      <c r="C18" s="854">
        <f>IF(ISNUMBER(
   IF(Criterios!B14="SI",(Datos!J18-Datos!T18)/Datos!T18,(Datos!J18+Datos!AD18-(Datos!T18+Datos!AL18))/(Datos!T18+Datos!AL18))
     ),IF(Criterios!B14="SI",(Datos!J18-Datos!T18)/Datos!T18,(Datos!J18+Datos!AD18-(Datos!T18+Datos!AL18))/(Datos!T18+Datos!AL18))," - ")</f>
        <v>0.25159235668789809</v>
      </c>
      <c r="D18" s="854">
        <f>IF(ISNUMBER(
   IF(Criterios!B14="SI",(Datos!K18-Datos!U18)/Datos!U18,(Datos!K18+Datos!AE18-(Datos!U18+Datos!AM18))/(Datos!U18+Datos!AM18))
     ),IF(Criterios!B14="SI",(Datos!K18-Datos!U18)/Datos!U18,(Datos!K18+Datos!AE18-(Datos!U18+Datos!AM18))/(Datos!U18+Datos!AM18))," - ")</f>
        <v>7.2992700729927001E-2</v>
      </c>
      <c r="E18" s="854">
        <f>IF(ISNUMBER(
   IF(Criterios!B14="SI",(Datos!L18-Datos!V18)/Datos!V18,(Datos!L18+Datos!AF18-(Datos!V18+Datos!AN18))/(Datos!V18+Datos!AN18))
     ),IF(Criterios!B14="SI",(Datos!L18-Datos!V18)/Datos!V18,(Datos!L18+Datos!AF18-(Datos!V18+Datos!AN18))/(Datos!V18+Datos!AN18))," - ")</f>
        <v>0.5432399512789281</v>
      </c>
      <c r="F18" s="855">
        <f>IF(ISNUMBER((Datos!M18-Datos!W18)/Datos!W18),(Datos!M18-Datos!W18)/Datos!W18," - ")</f>
        <v>0.20754716981132076</v>
      </c>
      <c r="G18" s="856">
        <f>IF(ISNUMBER((Datos!N18-Datos!X18)/Datos!X18),(Datos!N18-Datos!X18)/Datos!X18," - ")</f>
        <v>9.852216748768473E-3</v>
      </c>
      <c r="H18" s="856">
        <f>IF(ISNUMBER(((NºAsuntos!G18/NºAsuntos!E18)-Datos!BD18)/Datos!BD18),((NºAsuntos!G18/NºAsuntos!E18)-Datos!BD18)/Datos!BD18," - ")</f>
        <v>-0.14269794394606342</v>
      </c>
      <c r="I18" s="856">
        <f>IF(ISNUMBER(((NºAsuntos!I18/NºAsuntos!G18)-Datos!BE18)/Datos!BE18),((NºAsuntos!I18/NºAsuntos!G18)-Datos!BE18)/Datos!BE18," - ")</f>
        <v>0.4382576416681167</v>
      </c>
      <c r="J18" s="856">
        <f>IF(ISNUMBER((('Resol  Asuntos'!D18/NºAsuntos!G18)-Datos!BF18)/Datos!BF18),(('Resol  Asuntos'!D18/NºAsuntos!G18)-Datos!BF18)/Datos!BF18," - ")</f>
        <v>0.1254011038377614</v>
      </c>
      <c r="K18" s="856">
        <f>IF(ISNUMBER((((NºAsuntos!C18+NºAsuntos!E18)/NºAsuntos!G18)-Datos!BG18)/Datos!BG18),(((NºAsuntos!C18+NºAsuntos!E18)/NºAsuntos!G18)-Datos!BG18)/Datos!BG18," - ")</f>
        <v>0.26282653309680337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0.36709511568123393</v>
      </c>
      <c r="C19" s="801">
        <f>IF(ISNUMBER(
   IF(J_V="SI",(Datos!J19-Datos!T19)/Datos!T19,(Datos!J19+Datos!Z19-(Datos!T19+Datos!AH19))/(Datos!T19+Datos!AH19))
     ),IF(J_V="SI",(Datos!J19-Datos!T19)/Datos!T19,(Datos!J19+Datos!Z19-(Datos!T19+Datos!AH19))/(Datos!T19+Datos!AH19))," - ")</f>
        <v>-1.2578616352201259E-2</v>
      </c>
      <c r="D19" s="801">
        <f>IF(ISNUMBER(
   IF(J_V="SI",(Datos!K19-Datos!U19)/Datos!U19,(Datos!K19+Datos!AA19-(Datos!U19+Datos!AI19))/(Datos!U19+Datos!AI19))
     ),IF(J_V="SI",(Datos!K19-Datos!U19)/Datos!U19,(Datos!K19+Datos!AA19-(Datos!U19+Datos!AI19))/(Datos!U19+Datos!AI19))," - ")</f>
        <v>0.25600961538461536</v>
      </c>
      <c r="E19" s="801">
        <f>IF(ISNUMBER(
   IF(J_V="SI",(Datos!L19-Datos!V19)/Datos!V19,(Datos!L19+Datos!AB19-(Datos!V19+Datos!AJ19))/(Datos!V19+Datos!AJ19))
     ),IF(J_V="SI",(Datos!L19-Datos!V19)/Datos!V19,(Datos!L19+Datos!AB19-(Datos!V19+Datos!AJ19))/(Datos!V19+Datos!AJ19))," - ")</f>
        <v>0.21877807726864332</v>
      </c>
      <c r="F19" s="802">
        <f>IF(ISNUMBER((Datos!M19-Datos!W19)/Datos!W19),(Datos!M19-Datos!W19)/Datos!W19," - ")</f>
        <v>0.17054263565891473</v>
      </c>
      <c r="G19" s="803">
        <f>IF(ISNUMBER((Datos!N19-Datos!X19)/Datos!X19),(Datos!N19-Datos!X19)/Datos!X19," - ")</f>
        <v>0.26565464895635671</v>
      </c>
      <c r="H19" s="804">
        <f>IF(ISNUMBER((Tasas!B19-Datos!BD19)/Datos!BD19),(Tasas!B19-Datos!BD19)/Datos!BD19," - ")</f>
        <v>0.27200973787359134</v>
      </c>
      <c r="I19" s="805">
        <f>IF(ISNUMBER((Tasas!C19-Datos!BE19)/Datos!BE19),(Tasas!C19-Datos!BE19)/Datos!BE19," - ")</f>
        <v>-2.9642717428218834E-2</v>
      </c>
      <c r="J19" s="806">
        <f>IF(ISNUMBER((Tasas!D19-Datos!BF19)/Datos!BF19),(Tasas!D19-Datos!BF19)/Datos!BF19," - ")</f>
        <v>-0.30906891052081614</v>
      </c>
      <c r="K19" s="806">
        <f>IF(ISNUMBER((Tasas!E19-Datos!BG19)/Datos!BG19),(Tasas!E19-Datos!BG19)/Datos!BG19," - ")</f>
        <v>-2.1577726944151446E-2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23h7758fgGMcX4Y/kU7zuJ7R+LHyzXB/y/B7z6C3nJPE02R3r2//13AxZrRGlPUzFK8Rm9/X45+lhfD3Joo/g==" saltValue="ZIokER2Q7Ob3KSAAwgKg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BAZA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v>
      </c>
      <c r="C10" s="442">
        <f>IF(ISNUMBER(NºAsuntos!I10/NºAsuntos!G10),NºAsuntos!I10/NºAsuntos!G10," - ")</f>
        <v>2.1428571428571428</v>
      </c>
      <c r="D10" s="443">
        <f>IF(ISNUMBER('Resol  Asuntos'!D10/NºAsuntos!G10),'Resol  Asuntos'!D10/NºAsuntos!G10," - ")</f>
        <v>0.42857142857142855</v>
      </c>
      <c r="E10" s="444">
        <f>IF(ISNUMBER((NºAsuntos!C10+NºAsuntos!E10)/NºAsuntos!G10),(NºAsuntos!C10+NºAsuntos!E10)/NºAsuntos!G10," - ")</f>
        <v>3.1428571428571428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1.4610389610389611</v>
      </c>
      <c r="C12" s="442">
        <f>IF(ISNUMBER(NºAsuntos!I12/NºAsuntos!G12),NºAsuntos!I12/NºAsuntos!G12," - ")</f>
        <v>3.18</v>
      </c>
      <c r="D12" s="443">
        <f>IF(ISNUMBER('Resol  Asuntos'!D12/NºAsuntos!G12),'Resol  Asuntos'!D12/NºAsuntos!G12," - ")</f>
        <v>0.18666666666666668</v>
      </c>
      <c r="E12" s="444">
        <f>IF(ISNUMBER((NºAsuntos!C12+NºAsuntos!E12)/NºAsuntos!G12),(NºAsuntos!C12+NºAsuntos!E12)/NºAsuntos!G12," - ")</f>
        <v>4.18</v>
      </c>
      <c r="G12" s="462"/>
    </row>
    <row r="13" spans="1:7" ht="14.25" thickTop="1" thickBot="1">
      <c r="A13" s="847" t="str">
        <f>Datos!A13</f>
        <v>TOTAL</v>
      </c>
      <c r="B13" s="857">
        <f>IF(ISNUMBER(NºAsuntos!G13/NºAsuntos!E13),NºAsuntos!G13/NºAsuntos!E13," - ")</f>
        <v>1.4600638977635783</v>
      </c>
      <c r="C13" s="858">
        <f>IF(ISNUMBER(NºAsuntos!I13/NºAsuntos!G13),NºAsuntos!I13/NºAsuntos!G13," - ")</f>
        <v>3.1641137855579871</v>
      </c>
      <c r="D13" s="859">
        <f>IF(ISNUMBER('Resol  Asuntos'!D13/NºAsuntos!G13),'Resol  Asuntos'!D13/NºAsuntos!G13," - ")</f>
        <v>0.19037199124726478</v>
      </c>
      <c r="E13" s="860">
        <f>IF(ISNUMBER((NºAsuntos!C13+NºAsuntos!E13)/NºAsuntos!G13),(NºAsuntos!C13+NºAsuntos!E13)/NºAsuntos!G13," - ")</f>
        <v>4.1641137855579871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0.69887955182072825</v>
      </c>
      <c r="C16" s="442">
        <f>IF(ISNUMBER(NºAsuntos!I16/NºAsuntos!G16),NºAsuntos!I16/NºAsuntos!G16," - ")</f>
        <v>2.4248496993987976</v>
      </c>
      <c r="D16" s="443">
        <f>IF(ISNUMBER('Resol  Asuntos'!D16/NºAsuntos!G16),'Resol  Asuntos'!D16/NºAsuntos!G16," - ")</f>
        <v>0.10821643286573146</v>
      </c>
      <c r="E16" s="444">
        <f>IF(ISNUMBER((NºAsuntos!C16+NºAsuntos!E16)/NºAsuntos!G16),(NºAsuntos!C16+NºAsuntos!E16)/NºAsuntos!G16," - ")</f>
        <v>3.4248496993987976</v>
      </c>
      <c r="G16" s="462"/>
    </row>
    <row r="17" spans="1:7" ht="21.75" thickBot="1">
      <c r="A17" s="401" t="str">
        <f>Datos!A17</f>
        <v>Jdos. Violencia contra la mujer/Secc Viol. TI.</v>
      </c>
      <c r="B17" s="441">
        <f>IF(ISNUMBER(NºAsuntos!G17/NºAsuntos!E17),NºAsuntos!G17/NºAsuntos!E17," - ")</f>
        <v>1.2361111111111112</v>
      </c>
      <c r="C17" s="442">
        <f>IF(ISNUMBER(NºAsuntos!I17/NºAsuntos!G17),NºAsuntos!I17/NºAsuntos!G17," - ")</f>
        <v>0.6404494382022472</v>
      </c>
      <c r="D17" s="443">
        <f>IF(ISNUMBER('Resol  Asuntos'!D17/NºAsuntos!G17),'Resol  Asuntos'!D17/NºAsuntos!G17," - ")</f>
        <v>0.11235955056179775</v>
      </c>
      <c r="E17" s="444">
        <f>IF(ISNUMBER((NºAsuntos!C17+NºAsuntos!E17)/NºAsuntos!G17),(NºAsuntos!C17+NºAsuntos!E17)/NºAsuntos!G17," - ")</f>
        <v>1.6404494382022472</v>
      </c>
      <c r="G17" s="462"/>
    </row>
    <row r="18" spans="1:7" ht="14.25" thickTop="1" thickBot="1">
      <c r="A18" s="847" t="str">
        <f>Datos!A18</f>
        <v>TOTAL</v>
      </c>
      <c r="B18" s="857">
        <f>IF(ISNUMBER(NºAsuntos!G18/NºAsuntos!E18),NºAsuntos!G18/NºAsuntos!E18," - ")</f>
        <v>0.74809160305343514</v>
      </c>
      <c r="C18" s="858">
        <f>IF(ISNUMBER(NºAsuntos!I18/NºAsuntos!G18),NºAsuntos!I18/NºAsuntos!G18," - ")</f>
        <v>2.1547619047619047</v>
      </c>
      <c r="D18" s="861">
        <f>IF(ISNUMBER('Resol  Asuntos'!D18/NºAsuntos!G18),'Resol  Asuntos'!D18/NºAsuntos!G18," - ")</f>
        <v>0.10884353741496598</v>
      </c>
      <c r="E18" s="860">
        <f>IF(ISNUMBER((NºAsuntos!C18+NºAsuntos!E18)/NºAsuntos!G18),(NºAsuntos!C18+NºAsuntos!E18)/NºAsuntos!G18," - ")</f>
        <v>3.1547619047619047</v>
      </c>
      <c r="G18" s="462"/>
    </row>
    <row r="19" spans="1:7" ht="15.75" customHeight="1" thickTop="1" thickBot="1">
      <c r="A19" s="792" t="str">
        <f>Datos!A19</f>
        <v>TOTAL JURISDICCIONES</v>
      </c>
      <c r="B19" s="807">
        <f>IF(ISNUMBER(NºAsuntos!G19/NºAsuntos!E19),NºAsuntos!G19/NºAsuntos!E19," - ")</f>
        <v>0.95086442220200185</v>
      </c>
      <c r="C19" s="808">
        <f>IF(ISNUMBER(NºAsuntos!I19/NºAsuntos!G19),NºAsuntos!I19/NºAsuntos!G19," - ")</f>
        <v>2.5961722488038279</v>
      </c>
      <c r="D19" s="809">
        <f>IF(ISNUMBER('Resol  Asuntos'!D19/NºAsuntos!G19),'Resol  Asuntos'!D19/NºAsuntos!G19," - ")</f>
        <v>0.1444976076555024</v>
      </c>
      <c r="E19" s="810">
        <f>IF(ISNUMBER((NºAsuntos!C19+NºAsuntos!E19)/NºAsuntos!G19),(NºAsuntos!C19+NºAsuntos!E19)/NºAsuntos!G19," - ")</f>
        <v>3.5961722488038279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54O3mENuyapWNFbbfeE3h56wivhc6BlshAVi4dqvGctpQDmBMiduJz9/EuQvT7C5W95eba2D28zBvZ567obHA==" saltValue="T6Orsx2ziYzZBYnTPVK4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BAZA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17</v>
      </c>
      <c r="G10" s="332">
        <f>IF(ISNUMBER(Datos!I10),Datos!I10," - ")</f>
        <v>17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15</v>
      </c>
      <c r="AB10" s="333">
        <f>IF(ISNUMBER(Datos!R10),Datos!R10," - ")</f>
        <v>9</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6.4285714285714279</v>
      </c>
      <c r="AN10" s="243">
        <f>IF(ISNUMBER('Resol  Asuntos'!D10/NºAsuntos!G10),'Resol  Asuntos'!D10/NºAsuntos!G10," - ")</f>
        <v>0.42857142857142855</v>
      </c>
      <c r="AO10" s="244">
        <f>IF(ISNUMBER((NºAsuntos!C10+NºAsuntos!E10)/NºAsuntos!G10),(NºAsuntos!C10+NºAsuntos!E10)/NºAsuntos!G10," - ")</f>
        <v>3.1428571428571428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1756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v>
      </c>
      <c r="AJ12" s="228" t="str">
        <f>IF(ISNUMBER(Datos!BW12),Datos!BW12," - ")</f>
        <v xml:space="preserve"> - </v>
      </c>
      <c r="AK12" s="227" t="str">
        <f>IF(ISNUMBER(Datos!BX12),Datos!BX12," - ")</f>
        <v xml:space="preserve"> - </v>
      </c>
      <c r="AL12" s="242">
        <f>IF(ISNUMBER(NºAsuntos!G12/NºAsuntos!E12),NºAsuntos!G12/NºAsuntos!E12," - ")</f>
        <v>1.4610389610389611</v>
      </c>
      <c r="AM12" s="259">
        <f>IF(ISNUMBER(((NºAsuntos!I12/NºAsuntos!G12)*11)/factor_trimestre),((NºAsuntos!I12/NºAsuntos!G12)*11)/factor_trimestre," - ")</f>
        <v>9.5400000000000009</v>
      </c>
      <c r="AN12" s="243">
        <f>IF(ISNUMBER('Resol  Asuntos'!D12/NºAsuntos!G12),'Resol  Asuntos'!D12/NºAsuntos!G12," - ")</f>
        <v>0.18666666666666668</v>
      </c>
      <c r="AO12" s="244">
        <f>IF(ISNUMBER((NºAsuntos!C12+NºAsuntos!E12)/NºAsuntos!G12),(NºAsuntos!C12+NºAsuntos!E12)/NºAsuntos!G12," - ")</f>
        <v>4.18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17</v>
      </c>
      <c r="G13" s="865">
        <f t="shared" si="3"/>
        <v>17</v>
      </c>
      <c r="H13" s="864">
        <f t="shared" si="3"/>
        <v>0</v>
      </c>
      <c r="I13" s="866">
        <f t="shared" si="3"/>
        <v>0</v>
      </c>
      <c r="J13" s="866">
        <f t="shared" si="3"/>
        <v>0</v>
      </c>
      <c r="K13" s="866">
        <f t="shared" si="3"/>
        <v>0</v>
      </c>
      <c r="L13" s="866">
        <f t="shared" si="3"/>
        <v>35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7</v>
      </c>
      <c r="X13" s="866">
        <f t="shared" si="4"/>
        <v>42</v>
      </c>
      <c r="Y13" s="867">
        <f t="shared" si="4"/>
        <v>49</v>
      </c>
      <c r="Z13" s="867">
        <f t="shared" si="4"/>
        <v>0</v>
      </c>
      <c r="AA13" s="867">
        <f t="shared" si="4"/>
        <v>15</v>
      </c>
      <c r="AB13" s="867">
        <f t="shared" si="4"/>
        <v>1765</v>
      </c>
      <c r="AC13" s="867">
        <f t="shared" si="4"/>
        <v>24</v>
      </c>
      <c r="AD13" s="867">
        <f t="shared" si="4"/>
        <v>0</v>
      </c>
      <c r="AE13" s="871">
        <f t="shared" si="4"/>
        <v>0</v>
      </c>
      <c r="AF13" s="864">
        <f t="shared" si="4"/>
        <v>0</v>
      </c>
      <c r="AG13" s="872">
        <f t="shared" si="4"/>
        <v>0</v>
      </c>
      <c r="AH13" s="869">
        <f t="shared" si="4"/>
        <v>0</v>
      </c>
      <c r="AI13" s="864">
        <f t="shared" si="4"/>
        <v>87</v>
      </c>
      <c r="AJ13" s="866">
        <f t="shared" si="4"/>
        <v>0</v>
      </c>
      <c r="AK13" s="869">
        <f>SUBTOTAL(9,AK9:AK12)</f>
        <v>0</v>
      </c>
      <c r="AL13" s="873">
        <f>IF(ISNUMBER(NºAsuntos!G13/NºAsuntos!E13),NºAsuntos!G13/NºAsuntos!E13," - ")</f>
        <v>1.4600638977635783</v>
      </c>
      <c r="AM13" s="873">
        <f>IF(ISNUMBER(((NºAsuntos!I13/NºAsuntos!G13)*11)/factor_trimestre),((NºAsuntos!I13/NºAsuntos!G13)*11)/factor_trimestre," - ")</f>
        <v>9.4923413566739612</v>
      </c>
      <c r="AN13" s="874">
        <f>IF(ISNUMBER('Resol  Asuntos'!D13/NºAsuntos!G13),'Resol  Asuntos'!D13/NºAsuntos!G13," - ")</f>
        <v>0.19037199124726478</v>
      </c>
      <c r="AO13" s="875">
        <f>IF(ISNUMBER((NºAsuntos!C13+NºAsuntos!E13)/NºAsuntos!G13),(NºAsuntos!C13+NºAsuntos!E13)/NºAsuntos!G13," - ")</f>
        <v>4.1641137855579871</v>
      </c>
      <c r="AP13" s="876" t="str">
        <f t="shared" si="2"/>
        <v xml:space="preserve"> - </v>
      </c>
      <c r="AQ13" s="876">
        <f>IF(ISNUMBER((H13-W13+K13)/(F13)),(H13-W13+K13)/(F13)," - ")</f>
        <v>-0.41176470588235292</v>
      </c>
      <c r="AR13" s="877">
        <f>IF(ISNUMBER((Datos!P13-Datos!Q13)/(Datos!R13-Datos!P13+Datos!Q13)),(Datos!P13-Datos!Q13)/(Datos!R13-Datos!P13+Datos!Q13)," - ")</f>
        <v>-3.9503386004514675E-3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995</v>
      </c>
      <c r="G16" s="332">
        <f>IF(ISNUMBER(IF(D_I="SI",Datos!I16,Datos!I16+Datos!AC16)),IF(D_I="SI",Datos!I16,Datos!I16+Datos!AC16)," - ")</f>
        <v>995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499</v>
      </c>
      <c r="X16" s="225">
        <f>IF(ISNUMBER(Datos!Q16),Datos!Q16," - ")</f>
        <v>5</v>
      </c>
      <c r="Y16" s="333">
        <f t="shared" ref="Y16:Y17" si="7">SUM(W16:X16)</f>
        <v>504</v>
      </c>
      <c r="Z16" s="334" t="str">
        <f>IF(ISNUMBER(Datos!CC16),Datos!CC16," - ")</f>
        <v xml:space="preserve"> - </v>
      </c>
      <c r="AA16" s="331">
        <f>IF(ISNUMBER(IF(D_I="SI",Datos!L16,Datos!L16+Datos!AF16)),IF(D_I="SI",Datos!L16,Datos!L16+Datos!AF16)," - ")</f>
        <v>1210</v>
      </c>
      <c r="AB16" s="333">
        <f>IF(ISNUMBER(Datos!R16),Datos!R16," - ")</f>
        <v>71</v>
      </c>
      <c r="AC16" s="333">
        <f t="shared" si="6"/>
        <v>1281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v>
      </c>
      <c r="AJ16" s="230" t="str">
        <f>IF(ISNUMBER(Datos!BW16),Datos!BW16," - ")</f>
        <v xml:space="preserve"> - </v>
      </c>
      <c r="AK16" s="231" t="str">
        <f>IF(ISNUMBER(Datos!BX16),Datos!BX16," - ")</f>
        <v xml:space="preserve"> - </v>
      </c>
      <c r="AL16" s="242">
        <f>IF(ISNUMBER(NºAsuntos!G16/NºAsuntos!E16),NºAsuntos!G16/NºAsuntos!E16," - ")</f>
        <v>0.69887955182072825</v>
      </c>
      <c r="AM16" s="259">
        <f>IF(ISNUMBER(((NºAsuntos!I16/NºAsuntos!G16)*11)/factor_trimestre),((NºAsuntos!I16/NºAsuntos!G16)*11)/factor_trimestre," - ")</f>
        <v>7.2745490981963927</v>
      </c>
      <c r="AN16" s="243">
        <f>IF(ISNUMBER('Resol  Asuntos'!D16/NºAsuntos!G16),'Resol  Asuntos'!D16/NºAsuntos!G16," - ")</f>
        <v>0.10821643286573146</v>
      </c>
      <c r="AO16" s="244">
        <f>IF(ISNUMBER((NºAsuntos!C16+NºAsuntos!E16)/NºAsuntos!G16),(NºAsuntos!C16+NºAsuntos!E16)/NºAsuntos!G16," - ")</f>
        <v>3.4248496993987976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89</v>
      </c>
      <c r="X17" s="225">
        <f>IF(ISNUMBER(Datos!Q17),Datos!Q17," - ")</f>
        <v>0</v>
      </c>
      <c r="Y17" s="333">
        <f t="shared" si="7"/>
        <v>89</v>
      </c>
      <c r="Z17" s="334" t="str">
        <f>IF(ISNUMBER(Datos!CC17),Datos!CC17," - ")</f>
        <v xml:space="preserve"> - </v>
      </c>
      <c r="AA17" s="331">
        <f>IF(ISNUMBER(Datos!L17),Datos!L17,"-")</f>
        <v>57</v>
      </c>
      <c r="AB17" s="333">
        <f>IF(ISNUMBER(Datos!R17),Datos!R17," - ")</f>
        <v>0</v>
      </c>
      <c r="AC17" s="333">
        <f t="shared" si="6"/>
        <v>57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1.2361111111111112</v>
      </c>
      <c r="AM17" s="259">
        <f>IF(ISNUMBER(((NºAsuntos!I17/NºAsuntos!G17)*11)/factor_trimestre),((NºAsuntos!I17/NºAsuntos!G17)*11)/factor_trimestre," - ")</f>
        <v>1.9213483146067416</v>
      </c>
      <c r="AN17" s="243">
        <f>IF(ISNUMBER('Resol  Asuntos'!D17/NºAsuntos!G17),'Resol  Asuntos'!D17/NºAsuntos!G17," - ")</f>
        <v>0.11235955056179775</v>
      </c>
      <c r="AO17" s="244">
        <f>IF(ISNUMBER((NºAsuntos!C17+NºAsuntos!E17)/NºAsuntos!G17),(NºAsuntos!C17+NºAsuntos!E17)/NºAsuntos!G17," - ")</f>
        <v>1.6404494382022472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995</v>
      </c>
      <c r="G18" s="865">
        <f>SUBTOTAL(9,G15:G17)</f>
        <v>1069</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588</v>
      </c>
      <c r="X18" s="866">
        <f t="shared" si="11"/>
        <v>5</v>
      </c>
      <c r="Y18" s="867">
        <f t="shared" si="11"/>
        <v>593</v>
      </c>
      <c r="Z18" s="867">
        <f t="shared" si="11"/>
        <v>0</v>
      </c>
      <c r="AA18" s="867">
        <f t="shared" si="11"/>
        <v>1267</v>
      </c>
      <c r="AB18" s="867">
        <f t="shared" si="11"/>
        <v>71</v>
      </c>
      <c r="AC18" s="867">
        <f t="shared" si="11"/>
        <v>1338</v>
      </c>
      <c r="AD18" s="867">
        <f t="shared" si="11"/>
        <v>0</v>
      </c>
      <c r="AE18" s="871">
        <f t="shared" si="11"/>
        <v>0</v>
      </c>
      <c r="AF18" s="864">
        <f t="shared" si="11"/>
        <v>0</v>
      </c>
      <c r="AG18" s="872">
        <f t="shared" si="11"/>
        <v>0</v>
      </c>
      <c r="AH18" s="869">
        <f t="shared" si="11"/>
        <v>0</v>
      </c>
      <c r="AI18" s="864">
        <f t="shared" si="11"/>
        <v>64</v>
      </c>
      <c r="AJ18" s="866">
        <f t="shared" si="11"/>
        <v>0</v>
      </c>
      <c r="AK18" s="869">
        <f t="shared" si="11"/>
        <v>0</v>
      </c>
      <c r="AL18" s="873">
        <f>IF(ISNUMBER(NºAsuntos!G18/NºAsuntos!E18),NºAsuntos!G18/NºAsuntos!E18," - ")</f>
        <v>0.74809160305343514</v>
      </c>
      <c r="AM18" s="873">
        <f>IF(ISNUMBER(((NºAsuntos!I18/NºAsuntos!G18)*11)/factor_trimestre),((NºAsuntos!I18/NºAsuntos!G18)*11)/factor_trimestre," - ")</f>
        <v>6.4642857142857144</v>
      </c>
      <c r="AN18" s="874">
        <f>IF(ISNUMBER('Resol  Asuntos'!D18/NºAsuntos!G18),'Resol  Asuntos'!D18/NºAsuntos!G18," - ")</f>
        <v>0.10884353741496598</v>
      </c>
      <c r="AO18" s="875">
        <f>IF(ISNUMBER((NºAsuntos!C18+NºAsuntos!E18)/NºAsuntos!G18),(NºAsuntos!C18+NºAsuntos!E18)/NºAsuntos!G18," - ")</f>
        <v>3.1547619047619047</v>
      </c>
      <c r="AP18" s="876" t="str">
        <f t="shared" si="2"/>
        <v xml:space="preserve"> - </v>
      </c>
      <c r="AQ18" s="876">
        <f>IF(ISNUMBER((H18-W18+K18)/(F18)),(H18-W18+K18)/(F18)," - ")</f>
        <v>-0.59095477386934669</v>
      </c>
      <c r="AR18" s="877">
        <f>IF(ISNUMBER((Datos!P18-Datos!Q18)/(Datos!R18-Datos!P18+Datos!Q18)),(Datos!P18-Datos!Q18)/(Datos!R18-Datos!P18+Datos!Q18)," - ")</f>
        <v>7.575757575757576E-2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1012</v>
      </c>
      <c r="G19" s="820">
        <f t="shared" si="13"/>
        <v>1086</v>
      </c>
      <c r="H19" s="819">
        <f t="shared" si="13"/>
        <v>0</v>
      </c>
      <c r="I19" s="821">
        <f t="shared" si="13"/>
        <v>0</v>
      </c>
      <c r="J19" s="821">
        <f t="shared" si="13"/>
        <v>0</v>
      </c>
      <c r="K19" s="880">
        <f t="shared" si="13"/>
        <v>0</v>
      </c>
      <c r="L19" s="821">
        <f t="shared" si="13"/>
        <v>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595</v>
      </c>
      <c r="X19" s="820">
        <f t="shared" si="14"/>
        <v>47</v>
      </c>
      <c r="Y19" s="827">
        <f t="shared" si="14"/>
        <v>642</v>
      </c>
      <c r="Z19" s="827">
        <f t="shared" si="14"/>
        <v>0</v>
      </c>
      <c r="AA19" s="827">
        <f t="shared" si="14"/>
        <v>1282</v>
      </c>
      <c r="AB19" s="827">
        <f t="shared" si="14"/>
        <v>1836</v>
      </c>
      <c r="AC19" s="827">
        <f t="shared" si="14"/>
        <v>1362</v>
      </c>
      <c r="AD19" s="827">
        <f t="shared" si="14"/>
        <v>0</v>
      </c>
      <c r="AE19" s="829">
        <f t="shared" si="14"/>
        <v>0</v>
      </c>
      <c r="AF19" s="830">
        <f t="shared" si="14"/>
        <v>0</v>
      </c>
      <c r="AG19" s="831">
        <f t="shared" si="14"/>
        <v>0</v>
      </c>
      <c r="AH19" s="829">
        <f t="shared" si="14"/>
        <v>0</v>
      </c>
      <c r="AI19" s="819">
        <f t="shared" si="14"/>
        <v>151</v>
      </c>
      <c r="AJ19" s="819">
        <f t="shared" si="14"/>
        <v>0</v>
      </c>
      <c r="AK19" s="829">
        <f t="shared" si="14"/>
        <v>0</v>
      </c>
      <c r="AL19" s="883">
        <f>IF(ISNUMBER(NºAsuntos!G19/NºAsuntos!E19),NºAsuntos!G19/NºAsuntos!E19," - ")</f>
        <v>0.95086442220200185</v>
      </c>
      <c r="AM19" s="884">
        <f>IF(ISNUMBER(((NºAsuntos!I19/NºAsuntos!G19)*11)/factor_trimestre),((NºAsuntos!I19/NºAsuntos!G19)*11)/factor_trimestre," - ")</f>
        <v>7.7885167464114842</v>
      </c>
      <c r="AN19" s="884">
        <f>IF(ISNUMBER('Resol  Asuntos'!D19/NºAsuntos!G19),'Resol  Asuntos'!D19/NºAsuntos!G19," - ")</f>
        <v>0.1444976076555024</v>
      </c>
      <c r="AO19" s="885">
        <f>IF(ISNUMBER((NºAsuntos!C19+NºAsuntos!E19)/NºAsuntos!G19),(NºAsuntos!C19+NºAsuntos!E19)/NºAsuntos!G19," - ")</f>
        <v>3.5961722488038279</v>
      </c>
      <c r="AP19" s="886" t="str">
        <f t="shared" si="2"/>
        <v xml:space="preserve"> - </v>
      </c>
      <c r="AQ19" s="887">
        <f>IF(OR(ISNUMBER(FIND("01",Criterios!A8,1)),ISNUMBER(FIND("02",Criterios!A8,1)),ISNUMBER(FIND("03",Criterios!A8,1)),ISNUMBER(FIND("04",Criterios!A8,1))),(I19-W19+K19)/(F19-K19),(H19-W19+K19)/(F19-K19))</f>
        <v>-0.5879446640316206</v>
      </c>
      <c r="AR19" s="888">
        <f>IF(ISNUMBER((Datos!P19-Datos!Q19)/(Datos!R19-Datos!P19+Datos!Q19)),(Datos!P19-Datos!Q19)/(Datos!R19-Datos!P19+Datos!Q19)," - ")</f>
        <v>-1.088139281828074E-3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564.64856326745405</v>
      </c>
      <c r="G21" s="252">
        <f>IF(ISNUMBER(STDEV(G8:G18)),STDEV(G8:G18),"-")</f>
        <v>546.65418684941949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282.64111519734706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36.181026335175552</v>
      </c>
      <c r="AJ21" s="251">
        <f t="shared" si="18"/>
        <v>0</v>
      </c>
      <c r="AK21" s="253">
        <f t="shared" si="18"/>
        <v>0</v>
      </c>
      <c r="AL21" s="248">
        <f t="shared" si="18"/>
        <v>0.35384485518405168</v>
      </c>
      <c r="AM21" s="249">
        <f t="shared" si="18"/>
        <v>2.7934287388798604</v>
      </c>
      <c r="AN21" s="249">
        <f t="shared" si="18"/>
        <v>0.12347179533276385</v>
      </c>
      <c r="AO21" s="250">
        <f t="shared" si="18"/>
        <v>0.93114291295995355</v>
      </c>
      <c r="AP21" s="290" t="str">
        <f t="shared" si="18"/>
        <v>-</v>
      </c>
      <c r="AQ21" s="291">
        <f t="shared" si="18"/>
        <v>0.12670651219488202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sjcHUl+X42UDZ/qWH80DvsEWrj5XuzTPzzR+X3p7+vCqcDz+vIwiKAnsNoyW69mzarW/+330I6+6V7SjO4kyTQ==" saltValue="ZjOaUyh1Xh9KA54uXiBV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BAZA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-0.46875</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-0.53125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0.10526315789473684</v>
      </c>
      <c r="I12" s="349">
        <f>IF(ISNUMBER((Tasas!C12-Datos!BE12)/Datos!BE12),(Tasas!C12-Datos!BE12)/Datos!BE12," - ")</f>
        <v>-0.34222869628550612</v>
      </c>
      <c r="J12" s="348">
        <f>IF(ISNUMBER((Tasas!D12-Datos!BF12)/Datos!BF12),(Tasas!D12-Datos!BF12)/Datos!BF12," - ")</f>
        <v>-0.56187327823691458</v>
      </c>
      <c r="K12" s="350">
        <f>IF(ISNUMBER((Tasas!E12-Datos!BG12)/Datos!BG12),(Tasas!E12-Datos!BG12)/Datos!BG12," - ")</f>
        <v>-0.28357272178636095</v>
      </c>
      <c r="M12" t="e">
        <f>IF(Monitorios="SI",Datos!CE12,0)</f>
        <v>#REF!</v>
      </c>
      <c r="N12" t="e">
        <f>IF(Monitorios="SI",Datos!CF12,0)</f>
        <v>#REF!</v>
      </c>
      <c r="O12" t="e">
        <f>IF(Monitorios="SI",Datos!CG12,0)</f>
        <v>#REF!</v>
      </c>
      <c r="P12" t="e">
        <f>IF(Monitorios="SI",Datos!CH12,0)</f>
        <v>#REF!</v>
      </c>
      <c r="Q12">
        <f>IF(J_V="SI",0,Datos!AG12)</f>
        <v>60</v>
      </c>
      <c r="R12">
        <f>IF(J_V="SI",0,Datos!AH12)</f>
        <v>46</v>
      </c>
      <c r="S12">
        <f>IF(J_V="SI",0,Datos!AI12)</f>
        <v>39</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0.14473684210526316</v>
      </c>
      <c r="I13" s="356">
        <f>IF(ISNUMBER((Tasas!C13-Datos!BE13)/Datos!BE13),(Tasas!C13-Datos!BE13)/Datos!BE13," - ")</f>
        <v>-0.36042112804379478</v>
      </c>
      <c r="J13" s="354">
        <f>IF(ISNUMBER((Tasas!D13-Datos!BF13)/Datos!BF13),(Tasas!D13-Datos!BF13)/Datos!BF13," - ")</f>
        <v>-0.55317648335352732</v>
      </c>
      <c r="K13" s="357">
        <f>IF(ISNUMBER((Tasas!E13-Datos!BG13)/Datos!BG13),(Tasas!E13-Datos!BG13)/Datos!BG13," - ")</f>
        <v>-0.29981745701689261</v>
      </c>
      <c r="M13" t="e">
        <f>IF(Monitorios="SI",Datos!CE13,0)</f>
        <v>#REF!</v>
      </c>
      <c r="N13" t="e">
        <f>IF(Monitorios="SI",Datos!CF13,0)</f>
        <v>#REF!</v>
      </c>
      <c r="O13" t="e">
        <f>IF(Monitorios="SI",Datos!CG13,0)</f>
        <v>#REF!</v>
      </c>
      <c r="P13" t="e">
        <f>IF(Monitorios="SI",Datos!CH13,0)</f>
        <v>#REF!</v>
      </c>
      <c r="Q13">
        <f>IF(J_V="SI",0,Datos!AG13)</f>
        <v>60</v>
      </c>
      <c r="R13">
        <f>IF(J_V="SI",0,Datos!AH13)</f>
        <v>46</v>
      </c>
      <c r="S13">
        <f>IF(J_V="SI",0,Datos!AI13)</f>
        <v>39</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0.47189349112426038</v>
      </c>
      <c r="E16" s="347">
        <f>IF(ISNUMBER(
   IF(D_I="SI",(Datos!J16-Datos!T16)/Datos!T16,(Datos!J16+Datos!AD16-(Datos!T16+Datos!AL16))/(Datos!T16+Datos!AL16))
     ),IF(D_I="SI",(Datos!J16-Datos!T16)/Datos!T16,(Datos!J16+Datos!AD16-(Datos!T16+Datos!AL16))/(Datos!T16+Datos!AL16))," - ")</f>
        <v>0.16666666666666666</v>
      </c>
      <c r="F16" s="347">
        <f>IF(ISNUMBER(
   IF(D_I="SI",(Datos!K16-Datos!U16)/Datos!U16,(Datos!K16+Datos!AE16-(Datos!U16+Datos!AM16))/(Datos!U16+Datos!AM16))
     ),IF(D_I="SI",(Datos!K16-Datos!U16)/Datos!U16,(Datos!K16+Datos!AE16-(Datos!U16+Datos!AM16))/(Datos!U16+Datos!AM16))," - ")</f>
        <v>-6.5543071161048683E-2</v>
      </c>
      <c r="G16" s="348">
        <f>IF(ISNUMBER(
   IF(D_I="SI",(Datos!L16-Datos!V16)/Datos!V16,(Datos!L16+Datos!AF16-(Datos!V16+Datos!AN16))/(Datos!V16+Datos!AN16))
     ),IF(D_I="SI",(Datos!L16-Datos!V16)/Datos!V16,(Datos!L16+Datos!AF16-(Datos!V16+Datos!AN16))/(Datos!V16+Datos!AN16))," - ")</f>
        <v>0.60477453580901852</v>
      </c>
      <c r="H16" s="229">
        <f>IF(ISNUMBER((Datos!M16-Datos!W16)/Datos!W16),(Datos!M16-Datos!W16)/Datos!W16," - ")</f>
        <v>0.14893617021276595</v>
      </c>
      <c r="I16" s="349">
        <f>IF(ISNUMBER((Tasas!C16-Datos!BE16)/Datos!BE16),(Tasas!C16-Datos!BE16)/Datos!BE16," - ")</f>
        <v>0.71733387198800791</v>
      </c>
      <c r="J16" s="348">
        <f>IF(ISNUMBER((Tasas!D16-Datos!BF16)/Datos!BF16),(Tasas!D16-Datos!BF16)/Datos!BF16," - ")</f>
        <v>0.22952287553831052</v>
      </c>
      <c r="K16" s="350">
        <f>IF(ISNUMBER((Tasas!E16-Datos!BG16)/Datos!BG16),(Tasas!E16-Datos!BG16)/Datos!BG16," - ")</f>
        <v>0.4199299219557126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0.13846153846153847</v>
      </c>
      <c r="E17" s="347">
        <f>IF(ISNUMBER(
   IF(D_I="SI",(Datos!J17-Datos!T17)/Datos!T17,(Datos!J17+Datos!AD17-(Datos!T17+Datos!AL17))/(Datos!T17+Datos!AL17))
     ),IF(D_I="SI",(Datos!J17-Datos!T17)/Datos!T17,(Datos!J17+Datos!AD17-(Datos!T17+Datos!AL17))/(Datos!T17+Datos!AL17))," - ")</f>
        <v>3.5</v>
      </c>
      <c r="F17" s="347">
        <f>IF(ISNUMBER(
   IF(D_I="SI",(Datos!K17-Datos!U17)/Datos!U17,(Datos!K17+Datos!AE17-(Datos!U17+Datos!AM17))/(Datos!U17+Datos!AM17))
     ),IF(D_I="SI",(Datos!K17-Datos!U17)/Datos!U17,(Datos!K17+Datos!AE17-(Datos!U17+Datos!AM17))/(Datos!U17+Datos!AM17))," - ")</f>
        <v>5.3571428571428568</v>
      </c>
      <c r="G17" s="348">
        <f>IF(ISNUMBER(
   IF(D_I="SI",(Datos!L17-Datos!V17)/Datos!V17,(Datos!L17+Datos!AF17-(Datos!V17+Datos!AN17))/(Datos!V17+Datos!AN17))
     ),IF(D_I="SI",(Datos!L17-Datos!V17)/Datos!V17,(Datos!L17+Datos!AF17-(Datos!V17+Datos!AN17))/(Datos!V17+Datos!AN17))," - ")</f>
        <v>-0.14925373134328357</v>
      </c>
      <c r="H17" s="229">
        <f>IF(ISNUMBER((Datos!M17-Datos!W17)/Datos!W17),(Datos!M17-Datos!W17)/Datos!W17," - ")</f>
        <v>0.66666666666666663</v>
      </c>
      <c r="I17" s="349">
        <f>IF(ISNUMBER((Tasas!C17-Datos!BE17)/Datos!BE17),(Tasas!C17-Datos!BE17)/Datos!BE17," - ")</f>
        <v>-0.86617474425624685</v>
      </c>
      <c r="J17" s="348">
        <f>IF(ISNUMBER((Tasas!D17-Datos!BF17)/Datos!BF17),(Tasas!D17-Datos!BF17)/Datos!BF17," - ")</f>
        <v>-0.73782771535580527</v>
      </c>
      <c r="K17" s="350">
        <f>IF(ISNUMBER((Tasas!E17-Datos!BG17)/Datos!BG17),(Tasas!E17-Datos!BG17)/Datos!BG17," - ")</f>
        <v>-0.71646552919961159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0.44264507422402161</v>
      </c>
      <c r="E18" s="353">
        <f>IF(ISNUMBER(
   IF(D_I="SI",(Datos!J18-Datos!T18)/Datos!T18,(Datos!J18+Datos!AD18-(Datos!T18+Datos!AL18))/(Datos!T18+Datos!AL18))
     ),IF(D_I="SI",(Datos!J18-Datos!T18)/Datos!T18,(Datos!J18+Datos!AD18-(Datos!T18+Datos!AL18))/(Datos!T18+Datos!AL18))," - ")</f>
        <v>0.25159235668789809</v>
      </c>
      <c r="F18" s="353">
        <f>IF(ISNUMBER(
   IF(D_I="SI",(Datos!K18-Datos!U18)/Datos!U18,(Datos!K18+Datos!AE18-(Datos!U18+Datos!AM18))/(Datos!U18+Datos!AM18))
     ),IF(D_I="SI",(Datos!K18-Datos!U18)/Datos!U18,(Datos!K18+Datos!AE18-(Datos!U18+Datos!AM18))/(Datos!U18+Datos!AM18))," - ")</f>
        <v>7.2992700729927001E-2</v>
      </c>
      <c r="G18" s="354">
        <f>IF(ISNUMBER(
   IF(D_I="SI",(Datos!L18-Datos!V18)/Datos!V18,(Datos!L18+Datos!AF18-(Datos!V18+Datos!AN18))/(Datos!V18+Datos!AN18))
     ),IF(D_I="SI",(Datos!L18-Datos!V18)/Datos!V18,(Datos!L18+Datos!AF18-(Datos!V18+Datos!AN18))/(Datos!V18+Datos!AN18))," - ")</f>
        <v>0.5432399512789281</v>
      </c>
      <c r="H18" s="355">
        <f>IF(ISNUMBER((Datos!M18-Datos!W18)/Datos!W18),(Datos!M18-Datos!W18)/Datos!W18," - ")</f>
        <v>0.20754716981132076</v>
      </c>
      <c r="I18" s="356">
        <f>IF(ISNUMBER((Tasas!C18-Datos!BE18)/Datos!BE18),(Tasas!C18-Datos!BE18)/Datos!BE18," - ")</f>
        <v>0.4382576416681167</v>
      </c>
      <c r="J18" s="354">
        <f>IF(ISNUMBER((Tasas!D18-Datos!BF18)/Datos!BF18),(Tasas!D18-Datos!BF18)/Datos!BF18," - ")</f>
        <v>0.1254011038377614</v>
      </c>
      <c r="K18" s="357">
        <f>IF(ISNUMBER((Tasas!E18-Datos!BG18)/Datos!BG18),(Tasas!E18-Datos!BG18)/Datos!BG18," - ")</f>
        <v>0.26282653309680337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0.36709511568123393</v>
      </c>
      <c r="E19" s="362">
        <f>IF(ISNUMBER(
   IF(J_V="SI",(Datos!J19-Datos!T19)/Datos!T19,(Datos!J19+Datos!Z19-(Datos!T19+Datos!AH19))/(Datos!T19+Datos!AH19))
     ),IF(J_V="SI",(Datos!J19-Datos!T19)/Datos!T19,(Datos!J19+Datos!Z19-(Datos!T19+Datos!AH19))/(Datos!T19+Datos!AH19))," - ")</f>
        <v>-1.2578616352201259E-2</v>
      </c>
      <c r="F19" s="362">
        <f>IF(ISNUMBER(
   IF(J_V="SI",(Datos!K19-Datos!U19)/Datos!U19,(Datos!K19+Datos!AA19-(Datos!U19+Datos!AI19))/(Datos!U19+Datos!AI19))
     ),IF(J_V="SI",(Datos!K19-Datos!U19)/Datos!U19,(Datos!K19+Datos!AA19-(Datos!U19+Datos!AI19))/(Datos!U19+Datos!AI19))," - ")</f>
        <v>0.25600961538461536</v>
      </c>
      <c r="G19" s="363">
        <f>IF(ISNUMBER(
   IF(J_V="SI",(Datos!L19-Datos!V19)/Datos!V19,(Datos!L19+Datos!AB19-(Datos!V19+Datos!AJ19))/(Datos!V19+Datos!AJ19))
     ),IF(J_V="SI",(Datos!L19-Datos!V19)/Datos!V19,(Datos!L19+Datos!AB19-(Datos!V19+Datos!AJ19))/(Datos!V19+Datos!AJ19))," - ")</f>
        <v>0.21877807726864332</v>
      </c>
      <c r="H19" s="364">
        <f>IF(ISNUMBER((Datos!M19-Datos!W19)/Datos!W19),(Datos!M19-Datos!W19)/Datos!W19," - ")</f>
        <v>0.17054263565891473</v>
      </c>
      <c r="I19" s="361">
        <f>IF(ISNUMBER((Tasas!C19-Datos!BE19)/Datos!BE19),(Tasas!C19-Datos!BE19)/Datos!BE19," - ")</f>
        <v>-2.9642717428218834E-2</v>
      </c>
      <c r="J19" s="362">
        <f>IF(ISNUMBER((Tasas!D19-Datos!BF19)/Datos!BF19),(Tasas!D19-Datos!BF19)/Datos!BF19," - ")</f>
        <v>-0.30906891052081614</v>
      </c>
      <c r="K19" s="363">
        <f>IF(ISNUMBER((Tasas!E19-Datos!BG19)/Datos!BG19),(Tasas!E19-Datos!BG19)/Datos!BG19," - ")</f>
        <v>-2.1577726944151446E-2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0.43672235378362206</v>
      </c>
      <c r="E21" s="277">
        <f t="shared" si="1"/>
        <v>1.9004594050327754</v>
      </c>
      <c r="F21" s="277">
        <f t="shared" si="1"/>
        <v>3.0915734319985946</v>
      </c>
      <c r="G21" s="278">
        <f t="shared" si="1"/>
        <v>0.55097596619217504</v>
      </c>
      <c r="H21" s="284">
        <f t="shared" si="1"/>
        <v>0.23321082356101244</v>
      </c>
      <c r="I21" s="276">
        <f t="shared" si="1"/>
        <v>0.64609749468125166</v>
      </c>
      <c r="J21" s="277">
        <f t="shared" si="1"/>
        <v>0.44320672127738525</v>
      </c>
      <c r="K21" s="278">
        <f t="shared" si="1"/>
        <v>0.46175845386406322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FeSeLc53rRvZY3LT4OrZ1UHI1bZKUKIQ4Fm29Sb+OWZuxEnxPImiDvAmd45G+/Zd/EtccWhl8R/gAMdHp4bqA==" saltValue="MQEz1z9UzwD7/pLLmJ78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